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tranet.rkas.ee/haldus/RI ja HALDUSLEPINGUD/YLEP 2018/Rahandusministeerium/Vabaduse p 2 lepingud ja investeering/"/>
    </mc:Choice>
  </mc:AlternateContent>
  <xr:revisionPtr revIDLastSave="0" documentId="13_ncr:1_{EE17E595-346B-4541-9294-5286FD3BCB9C}" xr6:coauthVersionLast="40" xr6:coauthVersionMax="40" xr10:uidLastSave="{00000000-0000-0000-0000-000000000000}"/>
  <bookViews>
    <workbookView xWindow="28680" yWindow="-120" windowWidth="29040" windowHeight="17640" tabRatio="462" activeTab="1" xr2:uid="{00000000-000D-0000-FFFF-FFFF00000000}"/>
  </bookViews>
  <sheets>
    <sheet name="Lisa nr 1" sheetId="6" r:id="rId1"/>
    <sheet name="#Lisa 1 üürnike vahel jagatuna#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7" i="6" l="1"/>
  <c r="L6" i="8" l="1"/>
  <c r="L10" i="8"/>
  <c r="L11" i="8"/>
  <c r="L15" i="8"/>
  <c r="L16" i="8"/>
  <c r="L20" i="8"/>
  <c r="L21" i="8"/>
  <c r="L5" i="8"/>
  <c r="J8" i="8"/>
  <c r="J10" i="8"/>
  <c r="J11" i="8"/>
  <c r="J14" i="8"/>
  <c r="J15" i="8"/>
  <c r="J16" i="8"/>
  <c r="J17" i="8"/>
  <c r="J18" i="8"/>
  <c r="J19" i="8"/>
  <c r="J5" i="8"/>
  <c r="H15" i="8"/>
  <c r="H16" i="8"/>
  <c r="H9" i="8"/>
  <c r="F32" i="8"/>
  <c r="F31" i="8"/>
  <c r="F16" i="8"/>
  <c r="F17" i="8"/>
  <c r="F18" i="8"/>
  <c r="D23" i="8"/>
  <c r="D24" i="8"/>
  <c r="D25" i="8"/>
  <c r="D26" i="8"/>
  <c r="D27" i="8"/>
  <c r="D28" i="8"/>
  <c r="D29" i="8"/>
  <c r="D30" i="8"/>
  <c r="D21" i="8"/>
  <c r="D16" i="8"/>
  <c r="D6" i="8"/>
  <c r="D7" i="8"/>
  <c r="D8" i="8"/>
  <c r="D10" i="8"/>
  <c r="D11" i="8"/>
  <c r="D13" i="8"/>
  <c r="D15" i="8"/>
  <c r="D18" i="8"/>
  <c r="D20" i="8"/>
  <c r="F6" i="8"/>
  <c r="F7" i="8"/>
  <c r="F8" i="8"/>
  <c r="M17" i="8" l="1"/>
  <c r="D5" i="8"/>
  <c r="M10" i="8"/>
  <c r="H8" i="8" l="1"/>
  <c r="H10" i="8"/>
  <c r="H11" i="8"/>
  <c r="F10" i="8"/>
  <c r="F11" i="8"/>
  <c r="F15" i="8"/>
  <c r="M37" i="8" l="1"/>
  <c r="M36" i="8"/>
  <c r="M35" i="8"/>
  <c r="M34" i="8"/>
  <c r="M33" i="8"/>
  <c r="M32" i="8"/>
  <c r="M31" i="8"/>
  <c r="M30" i="8"/>
  <c r="M29" i="8"/>
  <c r="M24" i="8"/>
  <c r="M25" i="8"/>
  <c r="M26" i="8"/>
  <c r="M27" i="8"/>
  <c r="M28" i="8"/>
  <c r="M23" i="8"/>
  <c r="M22" i="8"/>
  <c r="M21" i="8"/>
  <c r="M20" i="8"/>
  <c r="J37" i="8"/>
  <c r="J22" i="8"/>
  <c r="J30" i="8"/>
  <c r="H30" i="8"/>
  <c r="F30" i="8"/>
  <c r="J29" i="8"/>
  <c r="H29" i="8"/>
  <c r="F29" i="8"/>
  <c r="L38" i="8"/>
  <c r="H36" i="8"/>
  <c r="H35" i="8"/>
  <c r="J20" i="8"/>
  <c r="H20" i="8"/>
  <c r="F20" i="8"/>
  <c r="F33" i="8"/>
  <c r="F34" i="8"/>
  <c r="D38" i="8" l="1"/>
  <c r="J38" i="8" l="1"/>
  <c r="D49" i="8"/>
  <c r="M16" i="8"/>
  <c r="M15" i="8"/>
  <c r="M12" i="8"/>
  <c r="M11" i="8"/>
  <c r="V9" i="8"/>
  <c r="W4" i="8" s="1"/>
  <c r="M9" i="8"/>
  <c r="U8" i="8"/>
  <c r="M8" i="8"/>
  <c r="U7" i="8"/>
  <c r="M7" i="8"/>
  <c r="X6" i="8"/>
  <c r="U6" i="8"/>
  <c r="M6" i="8"/>
  <c r="U5" i="8"/>
  <c r="M5" i="8"/>
  <c r="H5" i="8"/>
  <c r="H38" i="8" s="1"/>
  <c r="F5" i="8"/>
  <c r="X4" i="8"/>
  <c r="U4" i="8"/>
  <c r="U3" i="8"/>
  <c r="F38" i="8" l="1"/>
  <c r="F49" i="8" s="1"/>
  <c r="X9" i="8"/>
  <c r="Y8" i="8" s="1"/>
  <c r="K41" i="8" s="1"/>
  <c r="L42" i="8" s="1"/>
  <c r="W8" i="8"/>
  <c r="W6" i="8"/>
  <c r="H49" i="8"/>
  <c r="W3" i="8"/>
  <c r="W7" i="8"/>
  <c r="U9" i="8"/>
  <c r="W5" i="8"/>
  <c r="D50" i="8"/>
  <c r="J49" i="8"/>
  <c r="L49" i="8"/>
  <c r="Y3" i="8" l="1"/>
  <c r="L43" i="8"/>
  <c r="L46" i="8"/>
  <c r="Y4" i="8"/>
  <c r="G41" i="8" s="1"/>
  <c r="H46" i="8" s="1"/>
  <c r="Y6" i="8"/>
  <c r="E41" i="8" s="1"/>
  <c r="F42" i="8" s="1"/>
  <c r="Y7" i="8"/>
  <c r="I41" i="8" s="1"/>
  <c r="J42" i="8" s="1"/>
  <c r="W9" i="8"/>
  <c r="C41" i="8"/>
  <c r="M38" i="8"/>
  <c r="H58" i="8" s="1"/>
  <c r="J50" i="8"/>
  <c r="J51" i="8" s="1"/>
  <c r="F50" i="8"/>
  <c r="F51" i="8" s="1"/>
  <c r="L50" i="8"/>
  <c r="L51" i="8" s="1"/>
  <c r="L44" i="8"/>
  <c r="H50" i="8"/>
  <c r="D51" i="8"/>
  <c r="M49" i="8"/>
  <c r="H43" i="8" l="1"/>
  <c r="J46" i="8"/>
  <c r="Y9" i="8"/>
  <c r="J43" i="8"/>
  <c r="J44" i="8" s="1"/>
  <c r="J45" i="8" s="1"/>
  <c r="H42" i="8"/>
  <c r="H44" i="8" s="1"/>
  <c r="H45" i="8" s="1"/>
  <c r="H47" i="8" s="1"/>
  <c r="F43" i="8"/>
  <c r="F44" i="8" s="1"/>
  <c r="F45" i="8" s="1"/>
  <c r="F46" i="8"/>
  <c r="M50" i="8"/>
  <c r="L58" i="8"/>
  <c r="J58" i="8"/>
  <c r="D58" i="8"/>
  <c r="F58" i="8"/>
  <c r="D42" i="8"/>
  <c r="D46" i="8"/>
  <c r="M46" i="8" s="1"/>
  <c r="D43" i="8"/>
  <c r="H51" i="8"/>
  <c r="M51" i="8" s="1"/>
  <c r="L45" i="8"/>
  <c r="L47" i="8" s="1"/>
  <c r="F47" i="8" l="1"/>
  <c r="J47" i="8"/>
  <c r="M58" i="8"/>
  <c r="D44" i="8"/>
  <c r="D45" i="8" l="1"/>
  <c r="M45" i="8" s="1"/>
  <c r="M44" i="8"/>
  <c r="G14" i="6"/>
  <c r="G6" i="6"/>
  <c r="G7" i="6"/>
  <c r="G8" i="6"/>
  <c r="G10" i="6"/>
  <c r="G11" i="6"/>
  <c r="G12" i="6"/>
  <c r="G13" i="6"/>
  <c r="G15" i="6"/>
  <c r="G16" i="6"/>
  <c r="G17" i="6"/>
  <c r="G18" i="6"/>
  <c r="G19" i="6"/>
  <c r="G20" i="6"/>
  <c r="G21" i="6"/>
  <c r="G23" i="6"/>
  <c r="G24" i="6"/>
  <c r="G25" i="6"/>
  <c r="G26" i="6"/>
  <c r="G28" i="6"/>
  <c r="G29" i="6"/>
  <c r="G31" i="6"/>
  <c r="G33" i="6"/>
  <c r="G34" i="6"/>
  <c r="G35" i="6"/>
  <c r="G36" i="6"/>
  <c r="G37" i="6"/>
  <c r="G38" i="6"/>
  <c r="G40" i="6"/>
  <c r="G41" i="6"/>
  <c r="G42" i="6"/>
  <c r="G45" i="6"/>
  <c r="D47" i="8" l="1"/>
  <c r="M47" i="8" s="1"/>
  <c r="M60" i="8" s="1"/>
  <c r="C43" i="6" l="1"/>
  <c r="C30" i="6"/>
  <c r="G30" i="6" l="1"/>
  <c r="C44" i="6"/>
  <c r="C46" i="6"/>
  <c r="G43" i="6"/>
  <c r="G48" i="6" s="1"/>
  <c r="F48" i="6"/>
  <c r="E48" i="6"/>
  <c r="P14" i="8" l="1"/>
  <c r="P16" i="8"/>
  <c r="C48" i="6"/>
  <c r="L56" i="8" l="1"/>
  <c r="H56" i="8"/>
  <c r="J56" i="8"/>
  <c r="F56" i="8"/>
  <c r="D56" i="8"/>
  <c r="J54" i="8"/>
  <c r="L54" i="8"/>
  <c r="D54" i="8"/>
  <c r="H54" i="8"/>
  <c r="F54" i="8"/>
  <c r="M56" i="8" l="1"/>
  <c r="M54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Hannes Ulmas</author>
    <author>Siret Kuusik</author>
    <author>Ornella Muttik</author>
  </authors>
  <commentList>
    <comment ref="V2" authorId="0" shapeId="0" xr:uid="{BF25AE1E-0198-4A29-A705-373D2E970E15}">
      <text>
        <r>
          <rPr>
            <b/>
            <sz val="9"/>
            <color indexed="81"/>
            <rFont val="Tahoma"/>
            <family val="2"/>
            <charset val="186"/>
          </rPr>
          <t>Hannes Ulmas:</t>
        </r>
        <r>
          <rPr>
            <sz val="9"/>
            <color indexed="81"/>
            <rFont val="Tahoma"/>
            <family val="2"/>
            <charset val="186"/>
          </rPr>
          <t xml:space="preserve">
Viljandi Linnavalitsuse pinda ehitus ei puuduta ning temale ehitusmaksumus ei laiene</t>
        </r>
      </text>
    </comment>
    <comment ref="X2" authorId="1" shapeId="0" xr:uid="{FCC041DD-5FBF-4FC3-87FB-F45B6D8FFFDC}">
      <text>
        <r>
          <rPr>
            <b/>
            <sz val="9"/>
            <color indexed="81"/>
            <rFont val="Segoe UI"/>
            <charset val="1"/>
          </rPr>
          <t>Siret Kuusik:</t>
        </r>
        <r>
          <rPr>
            <sz val="9"/>
            <color indexed="81"/>
            <rFont val="Segoe UI"/>
            <charset val="1"/>
          </rPr>
          <t xml:space="preserve">
Pinnad ja osakaalud, mida kasutatakse lepingus investeeringu jagamisel.</t>
        </r>
      </text>
    </comment>
    <comment ref="X4" authorId="0" shapeId="0" xr:uid="{59E3D31A-39F6-407F-B0E8-2B8CF5E0B4FF}">
      <text>
        <r>
          <rPr>
            <b/>
            <sz val="9"/>
            <color indexed="81"/>
            <rFont val="Tahoma"/>
            <family val="2"/>
            <charset val="186"/>
          </rPr>
          <t>Hannes Ulmas:</t>
        </r>
        <r>
          <rPr>
            <sz val="9"/>
            <color indexed="81"/>
            <rFont val="Tahoma"/>
            <family val="2"/>
            <charset val="186"/>
          </rPr>
          <t xml:space="preserve">
Pinnast mahaarvatud ruum 301, arhiiv</t>
        </r>
      </text>
    </comment>
    <comment ref="X6" authorId="0" shapeId="0" xr:uid="{9AA96D20-B244-4961-9857-0735359DFB9C}">
      <text>
        <r>
          <rPr>
            <b/>
            <sz val="9"/>
            <color indexed="81"/>
            <rFont val="Tahoma"/>
            <family val="2"/>
            <charset val="186"/>
          </rPr>
          <t>Hannes Ulmas:</t>
        </r>
        <r>
          <rPr>
            <sz val="9"/>
            <color indexed="81"/>
            <rFont val="Tahoma"/>
            <family val="2"/>
            <charset val="186"/>
          </rPr>
          <t xml:space="preserve">
Pinnast mahaarvatud ruum 302 arhiiv, 303 saal, 304 saal</t>
        </r>
      </text>
    </comment>
    <comment ref="X9" authorId="0" shapeId="0" xr:uid="{8AC86B5A-EAD3-4B11-BEBE-30EFB9100F84}">
      <text>
        <r>
          <rPr>
            <b/>
            <sz val="9"/>
            <color indexed="81"/>
            <rFont val="Tahoma"/>
            <family val="2"/>
            <charset val="186"/>
          </rPr>
          <t>Hannes Ulmas:</t>
        </r>
        <r>
          <rPr>
            <sz val="9"/>
            <color indexed="81"/>
            <rFont val="Tahoma"/>
            <family val="2"/>
            <charset val="186"/>
          </rPr>
          <t xml:space="preserve">
ei sisalda ruume 301-304.</t>
        </r>
      </text>
    </comment>
    <comment ref="L20" authorId="2" shapeId="0" xr:uid="{5DF2673B-D416-40D3-A5EB-4372059F28FD}">
      <text>
        <r>
          <rPr>
            <b/>
            <sz val="9"/>
            <color indexed="81"/>
            <rFont val="Segoe UI"/>
            <family val="2"/>
            <charset val="186"/>
          </rPr>
          <t>Ornella Muttik:</t>
        </r>
        <r>
          <rPr>
            <sz val="9"/>
            <color indexed="81"/>
            <rFont val="Segoe UI"/>
            <family val="2"/>
            <charset val="186"/>
          </rPr>
          <t xml:space="preserve">
RKAS tühjas ruumis 1.korrusel</t>
        </r>
      </text>
    </comment>
    <comment ref="L21" authorId="2" shapeId="0" xr:uid="{2DB6120D-DADA-48A1-B61D-FA1D05DA5030}">
      <text>
        <r>
          <rPr>
            <b/>
            <sz val="9"/>
            <color indexed="81"/>
            <rFont val="Segoe UI"/>
            <family val="2"/>
            <charset val="186"/>
          </rPr>
          <t>Ornella Muttik:</t>
        </r>
        <r>
          <rPr>
            <sz val="9"/>
            <color indexed="81"/>
            <rFont val="Segoe UI"/>
            <family val="2"/>
            <charset val="186"/>
          </rPr>
          <t xml:space="preserve">
Lifti kõrval tühjas ruumis 1.korrusel
</t>
        </r>
      </text>
    </comment>
    <comment ref="F31" authorId="2" shapeId="0" xr:uid="{E9EF788A-249A-42E3-93D4-2C592ED24DEF}">
      <text>
        <r>
          <rPr>
            <b/>
            <sz val="9"/>
            <color indexed="81"/>
            <rFont val="Segoe UI"/>
            <family val="2"/>
            <charset val="186"/>
          </rPr>
          <t>Ornella Muttik:</t>
        </r>
        <r>
          <rPr>
            <sz val="9"/>
            <color indexed="81"/>
            <rFont val="Segoe UI"/>
            <family val="2"/>
            <charset val="186"/>
          </rPr>
          <t xml:space="preserve">
Keldris ühiskasutatavas köögis
</t>
        </r>
      </text>
    </comment>
    <comment ref="L31" authorId="2" shapeId="0" xr:uid="{9E2F435B-5E94-4643-91D0-7D77F1C4AFD7}">
      <text>
        <r>
          <rPr>
            <b/>
            <sz val="9"/>
            <color indexed="81"/>
            <rFont val="Segoe UI"/>
            <family val="2"/>
            <charset val="186"/>
          </rPr>
          <t>Ornella Muttik:</t>
        </r>
        <r>
          <rPr>
            <sz val="9"/>
            <color indexed="81"/>
            <rFont val="Segoe UI"/>
            <family val="2"/>
            <charset val="186"/>
          </rPr>
          <t xml:space="preserve">
Keldris ühiskasutatavas köögis
</t>
        </r>
      </text>
    </comment>
    <comment ref="F32" authorId="2" shapeId="0" xr:uid="{F58A817F-70FB-4C1E-9999-334CFEB54388}">
      <text>
        <r>
          <rPr>
            <b/>
            <sz val="9"/>
            <color indexed="81"/>
            <rFont val="Segoe UI"/>
            <family val="2"/>
            <charset val="186"/>
          </rPr>
          <t>Ornella Muttik:</t>
        </r>
        <r>
          <rPr>
            <sz val="9"/>
            <color indexed="81"/>
            <rFont val="Segoe UI"/>
            <family val="2"/>
            <charset val="186"/>
          </rPr>
          <t xml:space="preserve">
Fuajees ühiskasutuses võtmekapp</t>
        </r>
      </text>
    </comment>
    <comment ref="L32" authorId="2" shapeId="0" xr:uid="{0CC3188B-046B-4136-8527-6A2B8C9DDF86}">
      <text>
        <r>
          <rPr>
            <b/>
            <sz val="9"/>
            <color indexed="81"/>
            <rFont val="Segoe UI"/>
            <family val="2"/>
            <charset val="186"/>
          </rPr>
          <t>Ornella Muttik:</t>
        </r>
        <r>
          <rPr>
            <sz val="9"/>
            <color indexed="81"/>
            <rFont val="Segoe UI"/>
            <family val="2"/>
            <charset val="186"/>
          </rPr>
          <t xml:space="preserve">
Fuajees ühiskasutuses võtmekapp</t>
        </r>
      </text>
    </comment>
  </commentList>
</comments>
</file>

<file path=xl/sharedStrings.xml><?xml version="1.0" encoding="utf-8"?>
<sst xmlns="http://schemas.openxmlformats.org/spreadsheetml/2006/main" count="194" uniqueCount="137">
  <si>
    <t>Jrk nr</t>
  </si>
  <si>
    <t xml:space="preserve">Tuletõrjevarustus </t>
  </si>
  <si>
    <t>Kolimistööd, kardinate montaaž</t>
  </si>
  <si>
    <t>Lisa nr 1 - Ehitustööde loetelu ja eeldatav maksumus</t>
  </si>
  <si>
    <t>Objekt: Viljandi Riigimaja</t>
  </si>
  <si>
    <t>Objekti aadress: Viljandi linn, Vabaduse plats 2</t>
  </si>
  <si>
    <t>Kulu kirjeldus</t>
  </si>
  <si>
    <t>Projekteerimine, uuringud</t>
  </si>
  <si>
    <t>Lammutus ja ettevalmistustööd</t>
  </si>
  <si>
    <t>Üldehitustööd</t>
  </si>
  <si>
    <t>Kandva siseseina silluse S-1 ehitustööd</t>
  </si>
  <si>
    <t>Vaheseinte ehitustööd</t>
  </si>
  <si>
    <t>Siseuste tootmise-, tarne ja paigaldustööd</t>
  </si>
  <si>
    <t>Sisustus</t>
  </si>
  <si>
    <t>Tehnosüsteemid</t>
  </si>
  <si>
    <t>Kohtkindla 022  köögimööbli- ja integreeritava sisustuse tootmise-, tarne ja paigaldustööd</t>
  </si>
  <si>
    <t>Viimistlustööd</t>
  </si>
  <si>
    <t>seinte viimistlustööd - värvkate koos tasandusega (sh krohvimine)</t>
  </si>
  <si>
    <t>lagede viimistlustööd - värvkate koos tasandusega</t>
  </si>
  <si>
    <t>põrandakattematerjali sh põrandaliistude tarne-ja paigaldustööd</t>
  </si>
  <si>
    <t>Ventilatsioon ehitustööd</t>
  </si>
  <si>
    <t>Muud</t>
  </si>
  <si>
    <t>Ehitusplatsi korralduskulud</t>
  </si>
  <si>
    <t>Kohtkindla 308  köögimööbli- ja integreeritava sisustuse tootmise-, tarne ja paigaldustööd</t>
  </si>
  <si>
    <t>Koristustööd, mustuse eemaldamine</t>
  </si>
  <si>
    <t>Nõrkvooupaigaldis ja automaatika</t>
  </si>
  <si>
    <t>Tugevvoolupaigaldis</t>
  </si>
  <si>
    <t>Tööprojekt</t>
  </si>
  <si>
    <t>Veevarustus ja kanalisatsiooni ehitustööd</t>
  </si>
  <si>
    <t xml:space="preserve">Kontori mööbel </t>
  </si>
  <si>
    <t>Aluspõrandate ehitustööd</t>
  </si>
  <si>
    <t>Sirmide ehitustööd</t>
  </si>
  <si>
    <t>Serveriruumi ehitustööd</t>
  </si>
  <si>
    <t>olemasolevate põrandate parandamine, lihvimine, liistude vahetus, lakkimine/õli</t>
  </si>
  <si>
    <t>Printeri ruumi ehitustööd</t>
  </si>
  <si>
    <t>Olemasolevate uste ümber paigaldamine; uste tihendamine</t>
  </si>
  <si>
    <t>Kabinetis seina karbikute ehitustööd</t>
  </si>
  <si>
    <t>Lifti ehitustööd</t>
  </si>
  <si>
    <t>Katuse parandustööd</t>
  </si>
  <si>
    <t>Jahutuse ehitustööd</t>
  </si>
  <si>
    <t>Kardinad, logod, võtmekapp, akustilised plaadid, puhkruumi sisustus</t>
  </si>
  <si>
    <t>Inva panduse  piirde ehitustööd sh  vaegnägijale juhtsoon</t>
  </si>
  <si>
    <t>hind</t>
  </si>
  <si>
    <t>Ehitustööde reserv</t>
  </si>
  <si>
    <t>Kokku käibemaksuta</t>
  </si>
  <si>
    <t>Projektijuhtimine</t>
  </si>
  <si>
    <t>Vabaduse plats 2, Viljandi</t>
  </si>
  <si>
    <t>Toode</t>
  </si>
  <si>
    <t>Toote hind</t>
  </si>
  <si>
    <t>SKA / tk</t>
  </si>
  <si>
    <t>SKA maksumus</t>
  </si>
  <si>
    <t>REHO / tk</t>
  </si>
  <si>
    <t>REHO maksumus</t>
  </si>
  <si>
    <t>RTK / tk</t>
  </si>
  <si>
    <t>RTK maksumus</t>
  </si>
  <si>
    <t>STAT / tk</t>
  </si>
  <si>
    <t>RKAS / tk</t>
  </si>
  <si>
    <t>Kokku</t>
  </si>
  <si>
    <t>8h ergonoomiline töötool</t>
  </si>
  <si>
    <t xml:space="preserve">Töölaud A (1400*700) </t>
  </si>
  <si>
    <t>Töölaud B (1600*700)</t>
  </si>
  <si>
    <t>Elektriliselt kõrgusregul. laud A (1400 x 700 mm)</t>
  </si>
  <si>
    <t xml:space="preserve">Elektriliselt kõrgusregul. laud B (1600 x 700 mm) </t>
  </si>
  <si>
    <t>Ratastel sahtliboks</t>
  </si>
  <si>
    <t>Akustiline lauasirm A (1400 x 450 mm)</t>
  </si>
  <si>
    <t>Akustiline lauasirm B (1600 x 450 mm)</t>
  </si>
  <si>
    <t>Metalljalgadel 3 riiulitasapinnaga ustega kapp</t>
  </si>
  <si>
    <t>Põrandanagi</t>
  </si>
  <si>
    <t>SKA osakaal pinnast</t>
  </si>
  <si>
    <t>REHO osakaal pinnast</t>
  </si>
  <si>
    <t>RTK osakaal pinnast</t>
  </si>
  <si>
    <t>STAT osakaal pinnast</t>
  </si>
  <si>
    <t>RKAS osakaal pinnast</t>
  </si>
  <si>
    <t>tk</t>
  </si>
  <si>
    <r>
      <t xml:space="preserve">Sisustus </t>
    </r>
    <r>
      <rPr>
        <b/>
        <sz val="10"/>
        <color theme="1"/>
        <rFont val="Arial"/>
        <family val="2"/>
        <charset val="186"/>
      </rPr>
      <t>(v.a kohtkindel sisustus)</t>
    </r>
  </si>
  <si>
    <t>Üürnik</t>
  </si>
  <si>
    <t>Ainukasutuses pind</t>
  </si>
  <si>
    <t>Ühiskasutuses korruste pind</t>
  </si>
  <si>
    <t>Ühiskasutuses hoone pind</t>
  </si>
  <si>
    <t>Ühiskasutuses muu pind</t>
  </si>
  <si>
    <t>Osakaal %</t>
  </si>
  <si>
    <t>Osakaal%</t>
  </si>
  <si>
    <t>Sotsiaalkindlustusamet</t>
  </si>
  <si>
    <t>Riigi Tugiteenuste Keskus</t>
  </si>
  <si>
    <t>Viljandi Linnavalitsus</t>
  </si>
  <si>
    <t>REHO</t>
  </si>
  <si>
    <t>Statistikaaamet</t>
  </si>
  <si>
    <t>Aktiivne vakantsus</t>
  </si>
  <si>
    <t>Üüritav pind kokku</t>
  </si>
  <si>
    <t>Intress</t>
  </si>
  <si>
    <t>Ehitus</t>
  </si>
  <si>
    <t>Intressid</t>
  </si>
  <si>
    <t>Üle 10 amort</t>
  </si>
  <si>
    <t>Jääkmaksumus</t>
  </si>
  <si>
    <t>Jääkmaksumus investeering</t>
  </si>
  <si>
    <t>Jääkväärtus 10a lõpus</t>
  </si>
  <si>
    <t>Spetsiifilised ehitus</t>
  </si>
  <si>
    <t>Sisustuse taastamine kokku kuus</t>
  </si>
  <si>
    <t>Sisustuse remonttööd € kuus</t>
  </si>
  <si>
    <t>Projektijuhtimise kaudne kulu</t>
  </si>
  <si>
    <t>Projektijuhtimise otsene kulu</t>
  </si>
  <si>
    <t xml:space="preserve">Ehitusaegne intress </t>
  </si>
  <si>
    <t>ALGVÄÄRTUSE SUMMA KUJUNEB:</t>
  </si>
  <si>
    <t>Ehituse investeeringu algväärtus</t>
  </si>
  <si>
    <t>Sisustuse algväärtus</t>
  </si>
  <si>
    <t>Üürniku spetsiifilised ehitus</t>
  </si>
  <si>
    <t>Üürnikuspetsiifiline osa ehitusest</t>
  </si>
  <si>
    <t>Üürnikuspetsiifiline osa sisustusest</t>
  </si>
  <si>
    <t>Akustiline tugitool</t>
  </si>
  <si>
    <t>€</t>
  </si>
  <si>
    <t>STAT maksumus</t>
  </si>
  <si>
    <t>RKAS maksumus</t>
  </si>
  <si>
    <t>Ehitus + Projektijuhtimise otsene kulu</t>
  </si>
  <si>
    <t>Osakaal ilma saalide ja arhiivita</t>
  </si>
  <si>
    <t>Pind</t>
  </si>
  <si>
    <t xml:space="preserve">Akustiline lauasirm FEEK070845L-E  helesinine  + Üh.detail FEYL                            </t>
  </si>
  <si>
    <t xml:space="preserve">Akustiline lauasirm FEEK070845L-E  beež  + Üh.detail FEYL                            </t>
  </si>
  <si>
    <t>Keskmine koosolekulaud</t>
  </si>
  <si>
    <t>Suur koosolekulaud</t>
  </si>
  <si>
    <t>Püstlamell kardinad</t>
  </si>
  <si>
    <t>Ribakardinad</t>
  </si>
  <si>
    <t>Logo teenindussaali seinale</t>
  </si>
  <si>
    <t>Kliendi tool</t>
  </si>
  <si>
    <t>Teenindussaali ootetool</t>
  </si>
  <si>
    <t>Akustiline sirm teeninduslaudade vahele</t>
  </si>
  <si>
    <t>Esikilp teenindussaali lauale</t>
  </si>
  <si>
    <t>Abikapp ratastel</t>
  </si>
  <si>
    <t>Postkast</t>
  </si>
  <si>
    <t>Fassaadi logo</t>
  </si>
  <si>
    <t>Võtmekapp</t>
  </si>
  <si>
    <t>Elektriliselt kõrgusreguleeritav laud planeerijatele</t>
  </si>
  <si>
    <t xml:space="preserve"> Riiul Mõõdud 800x2039(h)x420mm</t>
  </si>
  <si>
    <t>Puhkenurga toolid</t>
  </si>
  <si>
    <t>Puhkenurga laud</t>
  </si>
  <si>
    <t>Diivanilaud (akustilise tugitooli juurde)</t>
  </si>
  <si>
    <t>Rulookardin</t>
  </si>
  <si>
    <t>Köögis olemasolevate toolide katteriide vahetustöö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</si>
</sst>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%"/>
    <numFmt numFmtId="165" formatCode="#,##0.0"/>
  </numFmts>
  <fonts count="2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4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b/>
      <sz val="1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b/>
      <sz val="12"/>
      <color rgb="FFFF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  <font>
      <sz val="11"/>
      <color rgb="FFFF0000"/>
      <name val="Calibri"/>
      <family val="2"/>
      <charset val="186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92D05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505050"/>
      </left>
      <right/>
      <top style="medium">
        <color rgb="FF505050"/>
      </top>
      <bottom style="medium">
        <color rgb="FF50505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505050"/>
      </left>
      <right style="thin">
        <color rgb="FF50505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rgb="FF505050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rgb="FF50505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50505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505050"/>
      </left>
      <right style="thin">
        <color indexed="64"/>
      </right>
      <top style="medium">
        <color indexed="64"/>
      </top>
      <bottom/>
      <diagonal/>
    </border>
    <border>
      <left style="thin">
        <color rgb="FF505050"/>
      </left>
      <right style="thin">
        <color indexed="64"/>
      </right>
      <top/>
      <bottom/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505050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</cellStyleXfs>
  <cellXfs count="210">
    <xf numFmtId="0" fontId="0" fillId="0" borderId="0" xfId="0"/>
    <xf numFmtId="0" fontId="0" fillId="0" borderId="0" xfId="0" applyAlignment="1">
      <alignment horizontal="center"/>
    </xf>
    <xf numFmtId="0" fontId="4" fillId="4" borderId="0" xfId="0" applyFont="1" applyFill="1" applyAlignment="1">
      <alignment horizontal="left"/>
    </xf>
    <xf numFmtId="0" fontId="3" fillId="0" borderId="12" xfId="0" applyFont="1" applyBorder="1"/>
    <xf numFmtId="0" fontId="3" fillId="4" borderId="13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3" fillId="0" borderId="0" xfId="0" applyFont="1" applyAlignment="1">
      <alignment horizontal="center"/>
    </xf>
    <xf numFmtId="44" fontId="3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4" borderId="5" xfId="0" applyFont="1" applyFill="1" applyBorder="1"/>
    <xf numFmtId="0" fontId="8" fillId="4" borderId="6" xfId="0" applyFont="1" applyFill="1" applyBorder="1"/>
    <xf numFmtId="0" fontId="8" fillId="0" borderId="0" xfId="0" applyFont="1"/>
    <xf numFmtId="0" fontId="3" fillId="5" borderId="7" xfId="0" applyFont="1" applyFill="1" applyBorder="1" applyAlignment="1" applyProtection="1">
      <alignment horizontal="left"/>
      <protection hidden="1"/>
    </xf>
    <xf numFmtId="0" fontId="3" fillId="6" borderId="7" xfId="0" applyFont="1" applyFill="1" applyBorder="1" applyAlignment="1" applyProtection="1">
      <alignment horizontal="left"/>
      <protection hidden="1"/>
    </xf>
    <xf numFmtId="0" fontId="3" fillId="6" borderId="19" xfId="0" applyFont="1" applyFill="1" applyBorder="1" applyAlignment="1" applyProtection="1">
      <alignment horizontal="left"/>
      <protection hidden="1"/>
    </xf>
    <xf numFmtId="0" fontId="1" fillId="5" borderId="2" xfId="0" applyFont="1" applyFill="1" applyBorder="1" applyProtection="1">
      <protection hidden="1"/>
    </xf>
    <xf numFmtId="165" fontId="1" fillId="5" borderId="2" xfId="0" applyNumberFormat="1" applyFont="1" applyFill="1" applyBorder="1" applyProtection="1">
      <protection hidden="1"/>
    </xf>
    <xf numFmtId="165" fontId="1" fillId="6" borderId="2" xfId="0" applyNumberFormat="1" applyFont="1" applyFill="1" applyBorder="1" applyProtection="1">
      <protection hidden="1"/>
    </xf>
    <xf numFmtId="0" fontId="1" fillId="5" borderId="0" xfId="0" applyFont="1" applyFill="1" applyProtection="1">
      <protection hidden="1"/>
    </xf>
    <xf numFmtId="165" fontId="1" fillId="5" borderId="0" xfId="0" applyNumberFormat="1" applyFont="1" applyFill="1" applyProtection="1">
      <protection hidden="1"/>
    </xf>
    <xf numFmtId="165" fontId="1" fillId="6" borderId="0" xfId="0" applyNumberFormat="1" applyFont="1" applyFill="1" applyProtection="1">
      <protection hidden="1"/>
    </xf>
    <xf numFmtId="164" fontId="0" fillId="6" borderId="2" xfId="3" applyNumberFormat="1" applyFont="1" applyFill="1" applyBorder="1"/>
    <xf numFmtId="164" fontId="0" fillId="5" borderId="2" xfId="3" applyNumberFormat="1" applyFont="1" applyFill="1" applyBorder="1"/>
    <xf numFmtId="164" fontId="0" fillId="5" borderId="0" xfId="3" applyNumberFormat="1" applyFont="1" applyFill="1"/>
    <xf numFmtId="0" fontId="3" fillId="0" borderId="0" xfId="0" applyFont="1"/>
    <xf numFmtId="3" fontId="3" fillId="0" borderId="0" xfId="0" applyNumberFormat="1" applyFont="1"/>
    <xf numFmtId="0" fontId="0" fillId="0" borderId="2" xfId="0" applyBorder="1"/>
    <xf numFmtId="4" fontId="6" fillId="0" borderId="0" xfId="0" applyNumberFormat="1" applyFont="1" applyAlignment="1">
      <alignment horizontal="left"/>
    </xf>
    <xf numFmtId="4" fontId="4" fillId="0" borderId="0" xfId="0" applyNumberFormat="1" applyFont="1" applyAlignment="1">
      <alignment horizontal="left"/>
    </xf>
    <xf numFmtId="4" fontId="3" fillId="0" borderId="13" xfId="0" applyNumberFormat="1" applyFont="1" applyBorder="1"/>
    <xf numFmtId="4" fontId="0" fillId="0" borderId="15" xfId="2" applyNumberFormat="1" applyFont="1" applyBorder="1"/>
    <xf numFmtId="4" fontId="0" fillId="0" borderId="2" xfId="2" applyNumberFormat="1" applyFont="1" applyBorder="1"/>
    <xf numFmtId="4" fontId="0" fillId="0" borderId="0" xfId="0" applyNumberFormat="1"/>
    <xf numFmtId="4" fontId="5" fillId="0" borderId="0" xfId="0" applyNumberFormat="1" applyFont="1" applyAlignment="1">
      <alignment horizontal="left"/>
    </xf>
    <xf numFmtId="4" fontId="3" fillId="0" borderId="7" xfId="0" applyNumberFormat="1" applyFont="1" applyBorder="1"/>
    <xf numFmtId="4" fontId="0" fillId="0" borderId="19" xfId="0" applyNumberFormat="1" applyBorder="1"/>
    <xf numFmtId="4" fontId="3" fillId="0" borderId="19" xfId="0" applyNumberFormat="1" applyFont="1" applyBorder="1"/>
    <xf numFmtId="4" fontId="5" fillId="0" borderId="0" xfId="0" applyNumberFormat="1" applyFont="1"/>
    <xf numFmtId="4" fontId="3" fillId="0" borderId="18" xfId="0" applyNumberFormat="1" applyFont="1" applyBorder="1"/>
    <xf numFmtId="4" fontId="0" fillId="0" borderId="18" xfId="0" applyNumberFormat="1" applyBorder="1"/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" fontId="3" fillId="0" borderId="14" xfId="0" applyNumberFormat="1" applyFont="1" applyBorder="1" applyAlignment="1">
      <alignment horizontal="center"/>
    </xf>
    <xf numFmtId="4" fontId="0" fillId="0" borderId="1" xfId="2" applyNumberFormat="1" applyFont="1" applyBorder="1" applyAlignment="1">
      <alignment horizontal="right"/>
    </xf>
    <xf numFmtId="4" fontId="0" fillId="0" borderId="17" xfId="2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0" fillId="0" borderId="16" xfId="0" applyNumberFormat="1" applyBorder="1" applyAlignment="1">
      <alignment horizontal="right"/>
    </xf>
    <xf numFmtId="0" fontId="12" fillId="0" borderId="0" xfId="0" applyFont="1"/>
    <xf numFmtId="0" fontId="13" fillId="0" borderId="0" xfId="0" applyFont="1"/>
    <xf numFmtId="4" fontId="13" fillId="8" borderId="21" xfId="0" applyNumberFormat="1" applyFont="1" applyFill="1" applyBorder="1"/>
    <xf numFmtId="4" fontId="3" fillId="5" borderId="0" xfId="0" applyNumberFormat="1" applyFont="1" applyFill="1"/>
    <xf numFmtId="164" fontId="2" fillId="9" borderId="17" xfId="3" applyNumberFormat="1" applyFill="1" applyBorder="1" applyAlignment="1">
      <alignment horizontal="center"/>
    </xf>
    <xf numFmtId="0" fontId="3" fillId="4" borderId="28" xfId="0" applyFont="1" applyFill="1" applyBorder="1" applyAlignment="1">
      <alignment horizontal="center"/>
    </xf>
    <xf numFmtId="3" fontId="7" fillId="4" borderId="11" xfId="0" applyNumberFormat="1" applyFont="1" applyFill="1" applyBorder="1"/>
    <xf numFmtId="3" fontId="0" fillId="4" borderId="20" xfId="0" applyNumberFormat="1" applyFill="1" applyBorder="1"/>
    <xf numFmtId="3" fontId="13" fillId="4" borderId="20" xfId="0" applyNumberFormat="1" applyFont="1" applyFill="1" applyBorder="1"/>
    <xf numFmtId="3" fontId="12" fillId="4" borderId="20" xfId="0" applyNumberFormat="1" applyFont="1" applyFill="1" applyBorder="1"/>
    <xf numFmtId="3" fontId="0" fillId="0" borderId="20" xfId="0" applyNumberFormat="1" applyBorder="1"/>
    <xf numFmtId="4" fontId="0" fillId="0" borderId="31" xfId="2" applyNumberFormat="1" applyFont="1" applyBorder="1"/>
    <xf numFmtId="0" fontId="0" fillId="4" borderId="30" xfId="2" applyNumberFormat="1" applyFont="1" applyFill="1" applyBorder="1" applyAlignment="1">
      <alignment horizontal="center"/>
    </xf>
    <xf numFmtId="0" fontId="0" fillId="4" borderId="2" xfId="2" applyNumberFormat="1" applyFont="1" applyFill="1" applyBorder="1" applyAlignment="1">
      <alignment horizontal="center"/>
    </xf>
    <xf numFmtId="0" fontId="15" fillId="0" borderId="0" xfId="0" applyFont="1"/>
    <xf numFmtId="0" fontId="14" fillId="10" borderId="32" xfId="0" applyFont="1" applyFill="1" applyBorder="1"/>
    <xf numFmtId="4" fontId="0" fillId="0" borderId="33" xfId="0" applyNumberFormat="1" applyBorder="1"/>
    <xf numFmtId="0" fontId="3" fillId="4" borderId="33" xfId="0" applyFont="1" applyFill="1" applyBorder="1" applyAlignment="1">
      <alignment horizontal="right" wrapText="1"/>
    </xf>
    <xf numFmtId="4" fontId="3" fillId="0" borderId="34" xfId="0" applyNumberFormat="1" applyFont="1" applyBorder="1"/>
    <xf numFmtId="0" fontId="14" fillId="10" borderId="37" xfId="0" applyFont="1" applyFill="1" applyBorder="1"/>
    <xf numFmtId="0" fontId="13" fillId="8" borderId="38" xfId="0" applyFont="1" applyFill="1" applyBorder="1"/>
    <xf numFmtId="0" fontId="13" fillId="8" borderId="37" xfId="0" applyFont="1" applyFill="1" applyBorder="1"/>
    <xf numFmtId="4" fontId="13" fillId="8" borderId="0" xfId="0" applyNumberFormat="1" applyFont="1" applyFill="1"/>
    <xf numFmtId="4" fontId="12" fillId="7" borderId="0" xfId="0" applyNumberFormat="1" applyFont="1" applyFill="1"/>
    <xf numFmtId="0" fontId="12" fillId="0" borderId="37" xfId="0" applyFont="1" applyBorder="1"/>
    <xf numFmtId="4" fontId="12" fillId="0" borderId="0" xfId="0" applyNumberFormat="1" applyFont="1"/>
    <xf numFmtId="0" fontId="0" fillId="0" borderId="37" xfId="0" applyBorder="1"/>
    <xf numFmtId="0" fontId="3" fillId="5" borderId="37" xfId="0" applyFont="1" applyFill="1" applyBorder="1"/>
    <xf numFmtId="0" fontId="0" fillId="0" borderId="39" xfId="0" applyBorder="1"/>
    <xf numFmtId="4" fontId="0" fillId="0" borderId="40" xfId="0" applyNumberFormat="1" applyBorder="1"/>
    <xf numFmtId="0" fontId="0" fillId="0" borderId="40" xfId="0" applyBorder="1" applyAlignment="1">
      <alignment horizontal="center"/>
    </xf>
    <xf numFmtId="4" fontId="0" fillId="0" borderId="40" xfId="0" applyNumberFormat="1" applyBorder="1" applyAlignment="1">
      <alignment horizontal="right"/>
    </xf>
    <xf numFmtId="4" fontId="3" fillId="0" borderId="35" xfId="0" applyNumberFormat="1" applyFont="1" applyBorder="1" applyAlignment="1">
      <alignment horizontal="right"/>
    </xf>
    <xf numFmtId="3" fontId="13" fillId="4" borderId="11" xfId="0" applyNumberFormat="1" applyFont="1" applyFill="1" applyBorder="1"/>
    <xf numFmtId="3" fontId="0" fillId="0" borderId="36" xfId="0" applyNumberFormat="1" applyBorder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 vertical="center"/>
    </xf>
    <xf numFmtId="0" fontId="0" fillId="0" borderId="4" xfId="0" applyBorder="1"/>
    <xf numFmtId="3" fontId="0" fillId="0" borderId="6" xfId="0" applyNumberFormat="1" applyBorder="1" applyAlignment="1">
      <alignment horizontal="right" wrapText="1"/>
    </xf>
    <xf numFmtId="3" fontId="0" fillId="0" borderId="23" xfId="0" applyNumberFormat="1" applyBorder="1" applyAlignment="1">
      <alignment horizontal="right" wrapText="1"/>
    </xf>
    <xf numFmtId="3" fontId="0" fillId="0" borderId="6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0" fontId="0" fillId="2" borderId="2" xfId="0" applyFill="1" applyBorder="1" applyAlignment="1">
      <alignment horizontal="right" vertical="center"/>
    </xf>
    <xf numFmtId="0" fontId="3" fillId="2" borderId="4" xfId="0" applyFont="1" applyFill="1" applyBorder="1"/>
    <xf numFmtId="3" fontId="0" fillId="2" borderId="6" xfId="0" applyNumberFormat="1" applyFill="1" applyBorder="1" applyAlignment="1">
      <alignment horizontal="right"/>
    </xf>
    <xf numFmtId="3" fontId="0" fillId="2" borderId="23" xfId="0" applyNumberFormat="1" applyFill="1" applyBorder="1" applyAlignment="1">
      <alignment horizontal="right"/>
    </xf>
    <xf numFmtId="3" fontId="0" fillId="0" borderId="0" xfId="0" applyNumberFormat="1"/>
    <xf numFmtId="0" fontId="0" fillId="3" borderId="2" xfId="0" applyFill="1" applyBorder="1" applyAlignment="1">
      <alignment horizontal="right" vertical="center"/>
    </xf>
    <xf numFmtId="0" fontId="19" fillId="0" borderId="4" xfId="0" applyFont="1" applyBorder="1" applyAlignment="1">
      <alignment vertical="top" wrapText="1"/>
    </xf>
    <xf numFmtId="3" fontId="20" fillId="0" borderId="6" xfId="0" applyNumberFormat="1" applyFont="1" applyBorder="1" applyAlignment="1">
      <alignment horizontal="right" vertical="center" wrapText="1"/>
    </xf>
    <xf numFmtId="3" fontId="20" fillId="0" borderId="23" xfId="0" applyNumberFormat="1" applyFont="1" applyBorder="1" applyAlignment="1">
      <alignment horizontal="right" vertical="center" wrapText="1"/>
    </xf>
    <xf numFmtId="3" fontId="20" fillId="0" borderId="6" xfId="0" applyNumberFormat="1" applyFont="1" applyBorder="1" applyAlignment="1">
      <alignment horizontal="right"/>
    </xf>
    <xf numFmtId="3" fontId="20" fillId="0" borderId="23" xfId="0" applyNumberFormat="1" applyFont="1" applyBorder="1" applyAlignment="1">
      <alignment horizontal="right"/>
    </xf>
    <xf numFmtId="0" fontId="0" fillId="0" borderId="7" xfId="0" applyBorder="1" applyAlignment="1">
      <alignment horizontal="right" vertical="center"/>
    </xf>
    <xf numFmtId="0" fontId="0" fillId="0" borderId="8" xfId="0" applyBorder="1"/>
    <xf numFmtId="3" fontId="0" fillId="0" borderId="1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26" xfId="0" applyNumberFormat="1" applyBorder="1" applyAlignment="1">
      <alignment horizontal="right"/>
    </xf>
    <xf numFmtId="0" fontId="0" fillId="0" borderId="7" xfId="0" applyBorder="1"/>
    <xf numFmtId="0" fontId="0" fillId="0" borderId="0" xfId="0" applyAlignment="1">
      <alignment horizontal="center" vertical="center"/>
    </xf>
    <xf numFmtId="3" fontId="0" fillId="0" borderId="27" xfId="0" applyNumberFormat="1" applyBorder="1" applyAlignment="1">
      <alignment horizontal="right"/>
    </xf>
    <xf numFmtId="0" fontId="0" fillId="0" borderId="15" xfId="0" applyBorder="1"/>
    <xf numFmtId="0" fontId="13" fillId="9" borderId="41" xfId="0" applyFont="1" applyFill="1" applyBorder="1"/>
    <xf numFmtId="4" fontId="13" fillId="9" borderId="42" xfId="0" applyNumberFormat="1" applyFont="1" applyFill="1" applyBorder="1"/>
    <xf numFmtId="3" fontId="13" fillId="9" borderId="28" xfId="0" applyNumberFormat="1" applyFont="1" applyFill="1" applyBorder="1"/>
    <xf numFmtId="0" fontId="3" fillId="4" borderId="35" xfId="0" applyFont="1" applyFill="1" applyBorder="1" applyAlignment="1">
      <alignment horizontal="right" wrapText="1"/>
    </xf>
    <xf numFmtId="164" fontId="2" fillId="9" borderId="4" xfId="3" applyNumberFormat="1" applyFill="1" applyBorder="1" applyAlignment="1">
      <alignment horizontal="center"/>
    </xf>
    <xf numFmtId="0" fontId="13" fillId="8" borderId="8" xfId="0" applyFont="1" applyFill="1" applyBorder="1" applyAlignment="1">
      <alignment horizontal="center"/>
    </xf>
    <xf numFmtId="0" fontId="13" fillId="8" borderId="16" xfId="0" applyFont="1" applyFill="1" applyBorder="1" applyAlignment="1">
      <alignment horizontal="center"/>
    </xf>
    <xf numFmtId="0" fontId="12" fillId="7" borderId="16" xfId="0" applyFont="1" applyFill="1" applyBorder="1" applyAlignment="1">
      <alignment horizontal="center"/>
    </xf>
    <xf numFmtId="0" fontId="13" fillId="9" borderId="14" xfId="0" applyFont="1" applyFill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0" fillId="0" borderId="16" xfId="0" applyBorder="1" applyAlignment="1">
      <alignment horizontal="center"/>
    </xf>
    <xf numFmtId="4" fontId="0" fillId="0" borderId="43" xfId="0" applyNumberFormat="1" applyBorder="1"/>
    <xf numFmtId="0" fontId="3" fillId="5" borderId="16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4" fontId="0" fillId="0" borderId="46" xfId="0" applyNumberFormat="1" applyBorder="1"/>
    <xf numFmtId="4" fontId="3" fillId="0" borderId="47" xfId="0" applyNumberFormat="1" applyFont="1" applyBorder="1"/>
    <xf numFmtId="4" fontId="3" fillId="0" borderId="48" xfId="0" applyNumberFormat="1" applyFont="1" applyBorder="1"/>
    <xf numFmtId="0" fontId="3" fillId="4" borderId="14" xfId="0" applyFont="1" applyFill="1" applyBorder="1" applyAlignment="1">
      <alignment horizontal="center"/>
    </xf>
    <xf numFmtId="0" fontId="13" fillId="7" borderId="37" xfId="0" applyFont="1" applyFill="1" applyBorder="1"/>
    <xf numFmtId="0" fontId="0" fillId="2" borderId="2" xfId="0" applyFill="1" applyBorder="1"/>
    <xf numFmtId="0" fontId="3" fillId="2" borderId="9" xfId="0" applyFont="1" applyFill="1" applyBorder="1" applyAlignment="1">
      <alignment horizontal="right"/>
    </xf>
    <xf numFmtId="0" fontId="3" fillId="2" borderId="2" xfId="0" applyFont="1" applyFill="1" applyBorder="1" applyAlignment="1">
      <alignment wrapText="1"/>
    </xf>
    <xf numFmtId="3" fontId="3" fillId="9" borderId="29" xfId="0" applyNumberFormat="1" applyFont="1" applyFill="1" applyBorder="1"/>
    <xf numFmtId="0" fontId="0" fillId="11" borderId="7" xfId="0" applyFill="1" applyBorder="1" applyAlignment="1">
      <alignment horizontal="right" vertical="center"/>
    </xf>
    <xf numFmtId="3" fontId="3" fillId="11" borderId="11" xfId="0" applyNumberFormat="1" applyFont="1" applyFill="1" applyBorder="1" applyAlignment="1">
      <alignment horizontal="right"/>
    </xf>
    <xf numFmtId="0" fontId="0" fillId="11" borderId="0" xfId="0" applyFill="1"/>
    <xf numFmtId="0" fontId="0" fillId="11" borderId="2" xfId="0" applyFill="1" applyBorder="1"/>
    <xf numFmtId="0" fontId="3" fillId="11" borderId="8" xfId="0" applyFont="1" applyFill="1" applyBorder="1" applyAlignment="1">
      <alignment horizontal="right"/>
    </xf>
    <xf numFmtId="3" fontId="3" fillId="2" borderId="28" xfId="0" applyNumberFormat="1" applyFont="1" applyFill="1" applyBorder="1" applyAlignment="1">
      <alignment horizontal="right"/>
    </xf>
    <xf numFmtId="0" fontId="0" fillId="2" borderId="49" xfId="0" applyFill="1" applyBorder="1" applyAlignment="1">
      <alignment horizontal="center" vertical="center"/>
    </xf>
    <xf numFmtId="3" fontId="3" fillId="2" borderId="2" xfId="0" applyNumberFormat="1" applyFont="1" applyFill="1" applyBorder="1"/>
    <xf numFmtId="3" fontId="13" fillId="8" borderId="10" xfId="0" applyNumberFormat="1" applyFont="1" applyFill="1" applyBorder="1"/>
    <xf numFmtId="3" fontId="13" fillId="8" borderId="8" xfId="0" applyNumberFormat="1" applyFont="1" applyFill="1" applyBorder="1"/>
    <xf numFmtId="3" fontId="13" fillId="8" borderId="21" xfId="0" applyNumberFormat="1" applyFont="1" applyFill="1" applyBorder="1"/>
    <xf numFmtId="3" fontId="13" fillId="8" borderId="43" xfId="0" applyNumberFormat="1" applyFont="1" applyFill="1" applyBorder="1"/>
    <xf numFmtId="3" fontId="13" fillId="8" borderId="16" xfId="0" applyNumberFormat="1" applyFont="1" applyFill="1" applyBorder="1"/>
    <xf numFmtId="3" fontId="13" fillId="8" borderId="0" xfId="0" applyNumberFormat="1" applyFont="1" applyFill="1"/>
    <xf numFmtId="3" fontId="12" fillId="7" borderId="43" xfId="0" applyNumberFormat="1" applyFont="1" applyFill="1" applyBorder="1"/>
    <xf numFmtId="3" fontId="12" fillId="7" borderId="16" xfId="0" applyNumberFormat="1" applyFont="1" applyFill="1" applyBorder="1"/>
    <xf numFmtId="3" fontId="12" fillId="7" borderId="0" xfId="0" applyNumberFormat="1" applyFont="1" applyFill="1"/>
    <xf numFmtId="3" fontId="13" fillId="9" borderId="44" xfId="0" applyNumberFormat="1" applyFont="1" applyFill="1" applyBorder="1"/>
    <xf numFmtId="3" fontId="13" fillId="9" borderId="14" xfId="0" applyNumberFormat="1" applyFont="1" applyFill="1" applyBorder="1"/>
    <xf numFmtId="3" fontId="13" fillId="9" borderId="42" xfId="0" applyNumberFormat="1" applyFont="1" applyFill="1" applyBorder="1"/>
    <xf numFmtId="3" fontId="12" fillId="0" borderId="43" xfId="0" applyNumberFormat="1" applyFont="1" applyBorder="1"/>
    <xf numFmtId="3" fontId="12" fillId="0" borderId="16" xfId="0" applyNumberFormat="1" applyFont="1" applyBorder="1"/>
    <xf numFmtId="3" fontId="12" fillId="0" borderId="0" xfId="0" applyNumberFormat="1" applyFont="1"/>
    <xf numFmtId="3" fontId="13" fillId="9" borderId="14" xfId="0" applyNumberFormat="1" applyFont="1" applyFill="1" applyBorder="1" applyAlignment="1">
      <alignment horizontal="center"/>
    </xf>
    <xf numFmtId="3" fontId="13" fillId="9" borderId="42" xfId="0" applyNumberFormat="1" applyFont="1" applyFill="1" applyBorder="1" applyAlignment="1">
      <alignment horizontal="center"/>
    </xf>
    <xf numFmtId="3" fontId="0" fillId="0" borderId="43" xfId="0" applyNumberFormat="1" applyBorder="1"/>
    <xf numFmtId="3" fontId="0" fillId="0" borderId="16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0" applyNumberFormat="1" applyAlignment="1">
      <alignment horizontal="right"/>
    </xf>
    <xf numFmtId="3" fontId="3" fillId="5" borderId="43" xfId="0" applyNumberFormat="1" applyFont="1" applyFill="1" applyBorder="1"/>
    <xf numFmtId="3" fontId="3" fillId="5" borderId="16" xfId="0" applyNumberFormat="1" applyFont="1" applyFill="1" applyBorder="1"/>
    <xf numFmtId="3" fontId="3" fillId="5" borderId="0" xfId="0" applyNumberFormat="1" applyFont="1" applyFill="1"/>
    <xf numFmtId="3" fontId="3" fillId="5" borderId="16" xfId="0" applyNumberFormat="1" applyFont="1" applyFill="1" applyBorder="1" applyAlignment="1">
      <alignment horizontal="center"/>
    </xf>
    <xf numFmtId="3" fontId="3" fillId="5" borderId="0" xfId="0" applyNumberFormat="1" applyFont="1" applyFill="1" applyAlignment="1">
      <alignment horizontal="center"/>
    </xf>
    <xf numFmtId="165" fontId="1" fillId="2" borderId="2" xfId="0" applyNumberFormat="1" applyFont="1" applyFill="1" applyBorder="1" applyProtection="1">
      <protection hidden="1"/>
    </xf>
    <xf numFmtId="0" fontId="3" fillId="2" borderId="2" xfId="0" applyFont="1" applyFill="1" applyBorder="1" applyAlignment="1" applyProtection="1">
      <alignment horizontal="left"/>
      <protection hidden="1"/>
    </xf>
    <xf numFmtId="165" fontId="0" fillId="2" borderId="2" xfId="0" applyNumberFormat="1" applyFill="1" applyBorder="1"/>
    <xf numFmtId="164" fontId="0" fillId="2" borderId="2" xfId="0" applyNumberFormat="1" applyFill="1" applyBorder="1"/>
    <xf numFmtId="0" fontId="0" fillId="0" borderId="50" xfId="0" applyBorder="1" applyAlignment="1">
      <alignment wrapText="1"/>
    </xf>
    <xf numFmtId="0" fontId="1" fillId="0" borderId="0" xfId="0" applyFont="1" applyProtection="1">
      <protection hidden="1"/>
    </xf>
    <xf numFmtId="4" fontId="3" fillId="0" borderId="0" xfId="0" applyNumberFormat="1" applyFont="1"/>
    <xf numFmtId="0" fontId="0" fillId="0" borderId="2" xfId="0" applyBorder="1" applyAlignment="1">
      <alignment wrapText="1"/>
    </xf>
    <xf numFmtId="2" fontId="0" fillId="0" borderId="2" xfId="2" applyNumberFormat="1" applyFont="1" applyBorder="1"/>
    <xf numFmtId="0" fontId="0" fillId="0" borderId="57" xfId="0" applyBorder="1"/>
    <xf numFmtId="4" fontId="0" fillId="0" borderId="58" xfId="2" applyNumberFormat="1" applyFont="1" applyBorder="1"/>
    <xf numFmtId="0" fontId="0" fillId="4" borderId="58" xfId="0" applyFill="1" applyBorder="1" applyAlignment="1">
      <alignment horizontal="center"/>
    </xf>
    <xf numFmtId="0" fontId="0" fillId="4" borderId="59" xfId="0" applyFill="1" applyBorder="1" applyAlignment="1">
      <alignment horizontal="center"/>
    </xf>
    <xf numFmtId="0" fontId="0" fillId="4" borderId="58" xfId="2" applyNumberFormat="1" applyFont="1" applyFill="1" applyBorder="1" applyAlignment="1">
      <alignment horizontal="center"/>
    </xf>
    <xf numFmtId="0" fontId="8" fillId="4" borderId="52" xfId="0" applyFont="1" applyFill="1" applyBorder="1"/>
    <xf numFmtId="0" fontId="0" fillId="0" borderId="53" xfId="0" applyBorder="1"/>
    <xf numFmtId="4" fontId="0" fillId="0" borderId="55" xfId="2" applyNumberFormat="1" applyFont="1" applyBorder="1"/>
    <xf numFmtId="0" fontId="0" fillId="0" borderId="51" xfId="0" applyBorder="1"/>
    <xf numFmtId="0" fontId="0" fillId="4" borderId="54" xfId="0" applyFill="1" applyBorder="1" applyAlignment="1">
      <alignment horizontal="center"/>
    </xf>
    <xf numFmtId="0" fontId="0" fillId="4" borderId="15" xfId="2" applyNumberFormat="1" applyFont="1" applyFill="1" applyBorder="1" applyAlignment="1">
      <alignment horizontal="center"/>
    </xf>
    <xf numFmtId="0" fontId="8" fillId="4" borderId="56" xfId="0" applyFont="1" applyFill="1" applyBorder="1"/>
    <xf numFmtId="0" fontId="0" fillId="4" borderId="2" xfId="0" applyFill="1" applyBorder="1"/>
    <xf numFmtId="0" fontId="23" fillId="0" borderId="0" xfId="0" applyFont="1"/>
    <xf numFmtId="0" fontId="23" fillId="0" borderId="2" xfId="0" applyFont="1" applyBorder="1"/>
    <xf numFmtId="3" fontId="23" fillId="0" borderId="23" xfId="0" applyNumberFormat="1" applyFont="1" applyBorder="1" applyAlignment="1">
      <alignment horizontal="right"/>
    </xf>
    <xf numFmtId="3" fontId="23" fillId="0" borderId="0" xfId="0" applyNumberFormat="1" applyFont="1"/>
    <xf numFmtId="0" fontId="20" fillId="0" borderId="2" xfId="0" applyFont="1" applyBorder="1" applyAlignment="1">
      <alignment horizontal="right" vertical="center"/>
    </xf>
    <xf numFmtId="0" fontId="20" fillId="0" borderId="4" xfId="0" applyFont="1" applyBorder="1"/>
    <xf numFmtId="0" fontId="20" fillId="0" borderId="2" xfId="0" applyFont="1" applyBorder="1"/>
    <xf numFmtId="0" fontId="6" fillId="0" borderId="0" xfId="0" applyFont="1" applyAlignment="1">
      <alignment horizontal="left"/>
    </xf>
  </cellXfs>
  <cellStyles count="5">
    <cellStyle name="Normaallaad" xfId="0" builtinId="0"/>
    <cellStyle name="Normaallaad 2" xfId="1" xr:uid="{00000000-0005-0000-0000-000001000000}"/>
    <cellStyle name="Normaallaad 67" xfId="4" xr:uid="{6A7CF9AE-CF13-409B-B5C8-86D4BB95CB47}"/>
    <cellStyle name="Protsent" xfId="3" builtinId="5"/>
    <cellStyle name="Valuuta" xfId="2" builtinId="4"/>
  </cellStyles>
  <dxfs count="1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</dxfs>
  <tableStyles count="0" defaultTableStyle="TableStyleMedium9" defaultPivotStyle="PivotStyleLight16"/>
  <colors>
    <mruColors>
      <color rgb="FFFF0066"/>
      <color rgb="FF9933FF"/>
      <color rgb="FFCC0099"/>
      <color rgb="FF33CC33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C429D-7B1D-437C-8327-72E91DF6FA50}">
  <sheetPr>
    <pageSetUpPr fitToPage="1"/>
  </sheetPr>
  <dimension ref="A1:J51"/>
  <sheetViews>
    <sheetView zoomScale="80" zoomScaleNormal="80" workbookViewId="0">
      <selection activeCell="H48" sqref="H48"/>
    </sheetView>
  </sheetViews>
  <sheetFormatPr defaultRowHeight="15" x14ac:dyDescent="0.25"/>
  <cols>
    <col min="1" max="1" width="8.28515625" style="120" customWidth="1"/>
    <col min="2" max="2" width="87.7109375" customWidth="1"/>
    <col min="3" max="3" width="14" style="1" customWidth="1"/>
    <col min="4" max="4" width="15.5703125" hidden="1" customWidth="1"/>
    <col min="5" max="5" width="26.85546875" bestFit="1" customWidth="1"/>
    <col min="6" max="6" width="28.140625" bestFit="1" customWidth="1"/>
    <col min="7" max="7" width="14" style="1" hidden="1" customWidth="1"/>
    <col min="8" max="8" width="9.7109375" customWidth="1"/>
    <col min="9" max="10" width="14.42578125" customWidth="1"/>
    <col min="11" max="11" width="17.140625" customWidth="1"/>
  </cols>
  <sheetData>
    <row r="1" spans="1:7" ht="18.75" x14ac:dyDescent="0.3">
      <c r="A1" s="86" t="s">
        <v>3</v>
      </c>
      <c r="B1" s="87"/>
    </row>
    <row r="2" spans="1:7" ht="18.75" x14ac:dyDescent="0.3">
      <c r="A2" s="88" t="s">
        <v>4</v>
      </c>
      <c r="B2" s="87"/>
    </row>
    <row r="3" spans="1:7" ht="15.75" x14ac:dyDescent="0.25">
      <c r="A3" s="88" t="s">
        <v>5</v>
      </c>
    </row>
    <row r="4" spans="1:7" ht="16.5" thickBot="1" x14ac:dyDescent="0.3">
      <c r="A4" s="89"/>
      <c r="B4" s="90"/>
      <c r="C4" s="91"/>
      <c r="G4" s="91"/>
    </row>
    <row r="5" spans="1:7" ht="30" customHeight="1" x14ac:dyDescent="0.25">
      <c r="A5" s="92" t="s">
        <v>0</v>
      </c>
      <c r="B5" s="93" t="s">
        <v>6</v>
      </c>
      <c r="C5" s="94" t="s">
        <v>42</v>
      </c>
      <c r="D5" t="s">
        <v>92</v>
      </c>
      <c r="E5" s="144" t="s">
        <v>106</v>
      </c>
      <c r="F5" s="144" t="s">
        <v>107</v>
      </c>
      <c r="G5" s="95" t="s">
        <v>95</v>
      </c>
    </row>
    <row r="6" spans="1:7" ht="15.6" customHeight="1" x14ac:dyDescent="0.25">
      <c r="A6" s="96">
        <v>1</v>
      </c>
      <c r="B6" s="97" t="s">
        <v>7</v>
      </c>
      <c r="C6" s="98">
        <v>31870</v>
      </c>
      <c r="D6">
        <v>10</v>
      </c>
      <c r="E6" s="30"/>
      <c r="F6" s="30"/>
      <c r="G6" s="99">
        <f>C6-C6/D6*10</f>
        <v>0</v>
      </c>
    </row>
    <row r="7" spans="1:7" ht="15.6" customHeight="1" x14ac:dyDescent="0.25">
      <c r="A7" s="96">
        <v>2</v>
      </c>
      <c r="B7" s="97" t="s">
        <v>27</v>
      </c>
      <c r="C7" s="98">
        <v>6685</v>
      </c>
      <c r="D7">
        <v>10</v>
      </c>
      <c r="E7" s="30"/>
      <c r="F7" s="30"/>
      <c r="G7" s="99">
        <f>C7-C7/D7*10</f>
        <v>0</v>
      </c>
    </row>
    <row r="8" spans="1:7" ht="15.6" customHeight="1" x14ac:dyDescent="0.25">
      <c r="A8" s="96">
        <v>3</v>
      </c>
      <c r="B8" s="97" t="s">
        <v>8</v>
      </c>
      <c r="C8" s="100">
        <v>17480</v>
      </c>
      <c r="D8">
        <v>10</v>
      </c>
      <c r="E8" s="30"/>
      <c r="F8" s="30"/>
      <c r="G8" s="101">
        <f>C8-C8/D8*10</f>
        <v>0</v>
      </c>
    </row>
    <row r="9" spans="1:7" ht="15.6" customHeight="1" x14ac:dyDescent="0.25">
      <c r="A9" s="102"/>
      <c r="B9" s="103" t="s">
        <v>9</v>
      </c>
      <c r="C9" s="104"/>
      <c r="E9" s="142"/>
      <c r="F9" s="142"/>
      <c r="G9" s="105"/>
    </row>
    <row r="10" spans="1:7" ht="15.6" customHeight="1" x14ac:dyDescent="0.25">
      <c r="A10" s="96">
        <v>4</v>
      </c>
      <c r="B10" s="97" t="s">
        <v>41</v>
      </c>
      <c r="C10" s="100">
        <v>4980</v>
      </c>
      <c r="D10">
        <v>20</v>
      </c>
      <c r="E10" s="30"/>
      <c r="F10" s="30"/>
      <c r="G10" s="101">
        <f t="shared" ref="G10:G21" si="0">C10-C10/D10*10</f>
        <v>2490</v>
      </c>
    </row>
    <row r="11" spans="1:7" ht="15.6" customHeight="1" x14ac:dyDescent="0.25">
      <c r="A11" s="96">
        <v>5</v>
      </c>
      <c r="B11" s="97" t="s">
        <v>10</v>
      </c>
      <c r="C11" s="100">
        <v>580</v>
      </c>
      <c r="D11">
        <v>20</v>
      </c>
      <c r="E11" s="30"/>
      <c r="F11" s="30"/>
      <c r="G11" s="101">
        <f t="shared" si="0"/>
        <v>290</v>
      </c>
    </row>
    <row r="12" spans="1:7" ht="15.6" customHeight="1" x14ac:dyDescent="0.25">
      <c r="A12" s="96">
        <v>6</v>
      </c>
      <c r="B12" s="97" t="s">
        <v>11</v>
      </c>
      <c r="C12" s="100">
        <v>6620</v>
      </c>
      <c r="D12">
        <v>20</v>
      </c>
      <c r="E12" s="30"/>
      <c r="F12" s="30"/>
      <c r="G12" s="101">
        <f t="shared" si="0"/>
        <v>3310</v>
      </c>
    </row>
    <row r="13" spans="1:7" ht="15.6" customHeight="1" x14ac:dyDescent="0.25">
      <c r="A13" s="96">
        <v>7</v>
      </c>
      <c r="B13" s="97" t="s">
        <v>12</v>
      </c>
      <c r="C13" s="100">
        <v>25541.7</v>
      </c>
      <c r="D13">
        <v>20</v>
      </c>
      <c r="E13" s="30"/>
      <c r="F13" s="30"/>
      <c r="G13" s="101">
        <f t="shared" si="0"/>
        <v>12770.85</v>
      </c>
    </row>
    <row r="14" spans="1:7" ht="15.6" customHeight="1" x14ac:dyDescent="0.25">
      <c r="A14" s="96">
        <v>8</v>
      </c>
      <c r="B14" s="97" t="s">
        <v>30</v>
      </c>
      <c r="C14" s="100">
        <v>7952</v>
      </c>
      <c r="D14">
        <v>20</v>
      </c>
      <c r="E14" s="30"/>
      <c r="F14" s="30"/>
      <c r="G14" s="101">
        <f t="shared" si="0"/>
        <v>3976</v>
      </c>
    </row>
    <row r="15" spans="1:7" ht="15.6" customHeight="1" x14ac:dyDescent="0.25">
      <c r="A15" s="96">
        <v>9</v>
      </c>
      <c r="B15" s="97" t="s">
        <v>31</v>
      </c>
      <c r="C15" s="100">
        <v>7398</v>
      </c>
      <c r="D15">
        <v>20</v>
      </c>
      <c r="E15" s="30"/>
      <c r="F15" s="30"/>
      <c r="G15" s="101">
        <f t="shared" si="0"/>
        <v>3699</v>
      </c>
    </row>
    <row r="16" spans="1:7" ht="15.6" customHeight="1" x14ac:dyDescent="0.25">
      <c r="A16" s="96">
        <v>10</v>
      </c>
      <c r="B16" s="97" t="s">
        <v>32</v>
      </c>
      <c r="C16" s="100">
        <v>4500</v>
      </c>
      <c r="D16">
        <v>20</v>
      </c>
      <c r="E16" s="30"/>
      <c r="F16" s="30"/>
      <c r="G16" s="101">
        <f t="shared" si="0"/>
        <v>2250</v>
      </c>
    </row>
    <row r="17" spans="1:10" ht="15.6" customHeight="1" x14ac:dyDescent="0.25">
      <c r="A17" s="96">
        <v>11</v>
      </c>
      <c r="B17" s="97" t="s">
        <v>34</v>
      </c>
      <c r="C17" s="100">
        <v>2580</v>
      </c>
      <c r="D17">
        <v>20</v>
      </c>
      <c r="E17" s="30"/>
      <c r="F17" s="30"/>
      <c r="G17" s="101">
        <f t="shared" si="0"/>
        <v>1290</v>
      </c>
    </row>
    <row r="18" spans="1:10" ht="15.6" customHeight="1" x14ac:dyDescent="0.25">
      <c r="A18" s="96">
        <v>12</v>
      </c>
      <c r="B18" s="97" t="s">
        <v>35</v>
      </c>
      <c r="C18" s="100">
        <v>563.70000000000005</v>
      </c>
      <c r="D18">
        <v>20</v>
      </c>
      <c r="E18" s="30"/>
      <c r="F18" s="30"/>
      <c r="G18" s="101">
        <f t="shared" si="0"/>
        <v>281.85000000000002</v>
      </c>
    </row>
    <row r="19" spans="1:10" ht="15.6" customHeight="1" x14ac:dyDescent="0.25">
      <c r="A19" s="96">
        <v>13</v>
      </c>
      <c r="B19" s="97" t="s">
        <v>36</v>
      </c>
      <c r="C19" s="100">
        <v>1800</v>
      </c>
      <c r="D19">
        <v>20</v>
      </c>
      <c r="E19" s="30"/>
      <c r="F19" s="30"/>
      <c r="G19" s="101">
        <f t="shared" si="0"/>
        <v>900</v>
      </c>
    </row>
    <row r="20" spans="1:10" ht="15.6" customHeight="1" x14ac:dyDescent="0.25">
      <c r="A20" s="96">
        <v>14</v>
      </c>
      <c r="B20" s="97" t="s">
        <v>37</v>
      </c>
      <c r="C20" s="100">
        <v>115020.8</v>
      </c>
      <c r="D20">
        <v>20</v>
      </c>
      <c r="E20" s="30"/>
      <c r="F20" s="30"/>
      <c r="G20" s="101">
        <f t="shared" si="0"/>
        <v>57510.400000000001</v>
      </c>
    </row>
    <row r="21" spans="1:10" ht="15.6" customHeight="1" x14ac:dyDescent="0.25">
      <c r="A21" s="96">
        <v>15</v>
      </c>
      <c r="B21" s="97" t="s">
        <v>38</v>
      </c>
      <c r="C21" s="100">
        <v>8861.7999999999993</v>
      </c>
      <c r="D21" s="106">
        <v>20</v>
      </c>
      <c r="E21" s="30"/>
      <c r="F21" s="30"/>
      <c r="G21" s="101">
        <f t="shared" si="0"/>
        <v>4430.8999999999996</v>
      </c>
    </row>
    <row r="22" spans="1:10" ht="15.6" customHeight="1" x14ac:dyDescent="0.25">
      <c r="A22" s="102"/>
      <c r="B22" s="103" t="s">
        <v>16</v>
      </c>
      <c r="C22" s="104"/>
      <c r="E22" s="142"/>
      <c r="F22" s="142"/>
      <c r="G22" s="105"/>
    </row>
    <row r="23" spans="1:10" ht="15.6" customHeight="1" x14ac:dyDescent="0.25">
      <c r="A23" s="107">
        <v>16</v>
      </c>
      <c r="B23" s="108" t="s">
        <v>17</v>
      </c>
      <c r="C23" s="109">
        <v>36752.800000000003</v>
      </c>
      <c r="D23">
        <v>10</v>
      </c>
      <c r="E23" s="30">
        <v>1</v>
      </c>
      <c r="F23" s="30"/>
      <c r="G23" s="110">
        <f>C23-C23/D23*10</f>
        <v>0</v>
      </c>
    </row>
    <row r="24" spans="1:10" ht="15.6" customHeight="1" x14ac:dyDescent="0.25">
      <c r="A24" s="107">
        <v>17</v>
      </c>
      <c r="B24" s="108" t="s">
        <v>18</v>
      </c>
      <c r="C24" s="109">
        <v>19981.14</v>
      </c>
      <c r="D24">
        <v>10</v>
      </c>
      <c r="E24" s="30">
        <v>1</v>
      </c>
      <c r="F24" s="30"/>
      <c r="G24" s="110">
        <f>C24-C24/D24*10</f>
        <v>0</v>
      </c>
    </row>
    <row r="25" spans="1:10" ht="15.6" customHeight="1" x14ac:dyDescent="0.25">
      <c r="A25" s="107">
        <v>18</v>
      </c>
      <c r="B25" s="108" t="s">
        <v>19</v>
      </c>
      <c r="C25" s="109">
        <v>24128.7</v>
      </c>
      <c r="D25">
        <v>10</v>
      </c>
      <c r="E25" s="30">
        <v>1</v>
      </c>
      <c r="F25" s="30"/>
      <c r="G25" s="110">
        <f>C25-C25/D25*10</f>
        <v>0</v>
      </c>
    </row>
    <row r="26" spans="1:10" ht="15.6" customHeight="1" x14ac:dyDescent="0.25">
      <c r="A26" s="107">
        <v>19</v>
      </c>
      <c r="B26" s="108" t="s">
        <v>33</v>
      </c>
      <c r="C26" s="109">
        <v>8993.5</v>
      </c>
      <c r="D26">
        <v>10</v>
      </c>
      <c r="E26" s="30">
        <v>1</v>
      </c>
      <c r="F26" s="30"/>
      <c r="G26" s="110">
        <f>C26-C26/D26*10</f>
        <v>0</v>
      </c>
    </row>
    <row r="27" spans="1:10" ht="15.6" customHeight="1" x14ac:dyDescent="0.25">
      <c r="A27" s="102"/>
      <c r="B27" s="103" t="s">
        <v>13</v>
      </c>
      <c r="C27" s="104"/>
      <c r="E27" s="142"/>
      <c r="F27" s="142"/>
      <c r="G27" s="105"/>
    </row>
    <row r="28" spans="1:10" ht="15.6" customHeight="1" x14ac:dyDescent="0.25">
      <c r="A28" s="96">
        <v>20</v>
      </c>
      <c r="B28" s="97" t="s">
        <v>15</v>
      </c>
      <c r="C28" s="111">
        <v>6050</v>
      </c>
      <c r="D28">
        <v>10</v>
      </c>
      <c r="E28" s="30">
        <v>1</v>
      </c>
      <c r="F28" s="30"/>
      <c r="G28" s="112">
        <f>C28-C28/D28*10</f>
        <v>0</v>
      </c>
    </row>
    <row r="29" spans="1:10" ht="15.6" customHeight="1" x14ac:dyDescent="0.25">
      <c r="A29" s="96">
        <v>21</v>
      </c>
      <c r="B29" s="97" t="s">
        <v>23</v>
      </c>
      <c r="C29" s="111">
        <v>2900</v>
      </c>
      <c r="D29">
        <v>10</v>
      </c>
      <c r="E29" s="30">
        <v>1</v>
      </c>
      <c r="F29" s="30"/>
      <c r="G29" s="112">
        <f>C29-C29/D29*10</f>
        <v>0</v>
      </c>
    </row>
    <row r="30" spans="1:10" s="202" customFormat="1" ht="15.6" customHeight="1" x14ac:dyDescent="0.25">
      <c r="A30" s="206">
        <v>22</v>
      </c>
      <c r="B30" s="207" t="s">
        <v>40</v>
      </c>
      <c r="C30" s="111">
        <f>23547.08-537</f>
        <v>23010.080000000002</v>
      </c>
      <c r="D30" s="202">
        <v>10</v>
      </c>
      <c r="E30" s="203"/>
      <c r="F30" s="208">
        <v>1</v>
      </c>
      <c r="G30" s="204">
        <f>C30-C30/D30*10</f>
        <v>0</v>
      </c>
    </row>
    <row r="31" spans="1:10" s="202" customFormat="1" ht="15.6" customHeight="1" x14ac:dyDescent="0.25">
      <c r="A31" s="206">
        <v>23</v>
      </c>
      <c r="B31" s="207" t="s">
        <v>29</v>
      </c>
      <c r="C31" s="111">
        <v>93897</v>
      </c>
      <c r="D31" s="202">
        <v>10</v>
      </c>
      <c r="E31" s="203"/>
      <c r="F31" s="208">
        <v>1</v>
      </c>
      <c r="G31" s="204">
        <f>C31-C31/D31*10</f>
        <v>0</v>
      </c>
      <c r="J31" s="205"/>
    </row>
    <row r="32" spans="1:10" ht="15.6" customHeight="1" x14ac:dyDescent="0.25">
      <c r="A32" s="102"/>
      <c r="B32" s="103" t="s">
        <v>14</v>
      </c>
      <c r="C32" s="104"/>
      <c r="E32" s="142"/>
      <c r="F32" s="142"/>
      <c r="G32" s="105"/>
    </row>
    <row r="33" spans="1:7" ht="15.6" customHeight="1" x14ac:dyDescent="0.25">
      <c r="A33" s="96">
        <v>24</v>
      </c>
      <c r="B33" s="108" t="s">
        <v>28</v>
      </c>
      <c r="C33" s="109">
        <v>1280</v>
      </c>
      <c r="D33">
        <v>15</v>
      </c>
      <c r="E33" s="30"/>
      <c r="F33" s="30"/>
      <c r="G33" s="110">
        <f t="shared" ref="G33:G38" si="1">C33-C33/D33*10</f>
        <v>426.66666666666674</v>
      </c>
    </row>
    <row r="34" spans="1:7" ht="15.6" customHeight="1" x14ac:dyDescent="0.25">
      <c r="A34" s="96">
        <v>25</v>
      </c>
      <c r="B34" s="108" t="s">
        <v>1</v>
      </c>
      <c r="C34" s="109">
        <v>1600</v>
      </c>
      <c r="D34">
        <v>15</v>
      </c>
      <c r="E34" s="30"/>
      <c r="F34" s="30"/>
      <c r="G34" s="110">
        <f t="shared" si="1"/>
        <v>533.33333333333326</v>
      </c>
    </row>
    <row r="35" spans="1:7" ht="15.6" customHeight="1" x14ac:dyDescent="0.25">
      <c r="A35" s="96">
        <v>26</v>
      </c>
      <c r="B35" s="108" t="s">
        <v>20</v>
      </c>
      <c r="C35" s="109">
        <v>139575</v>
      </c>
      <c r="D35">
        <v>15</v>
      </c>
      <c r="E35" s="30"/>
      <c r="F35" s="30"/>
      <c r="G35" s="110">
        <f t="shared" si="1"/>
        <v>46525</v>
      </c>
    </row>
    <row r="36" spans="1:7" ht="15.6" customHeight="1" x14ac:dyDescent="0.25">
      <c r="A36" s="96">
        <v>27</v>
      </c>
      <c r="B36" s="108" t="s">
        <v>25</v>
      </c>
      <c r="C36" s="109">
        <v>52659</v>
      </c>
      <c r="D36">
        <v>15</v>
      </c>
      <c r="E36" s="30"/>
      <c r="F36" s="30"/>
      <c r="G36" s="110">
        <f t="shared" si="1"/>
        <v>17553</v>
      </c>
    </row>
    <row r="37" spans="1:7" ht="15.6" customHeight="1" x14ac:dyDescent="0.25">
      <c r="A37" s="96">
        <v>28</v>
      </c>
      <c r="B37" s="108" t="s">
        <v>26</v>
      </c>
      <c r="C37" s="109">
        <v>134054.6</v>
      </c>
      <c r="D37">
        <v>15</v>
      </c>
      <c r="E37" s="30"/>
      <c r="F37" s="30"/>
      <c r="G37" s="110">
        <f t="shared" si="1"/>
        <v>44684.866666666669</v>
      </c>
    </row>
    <row r="38" spans="1:7" ht="15.6" customHeight="1" x14ac:dyDescent="0.25">
      <c r="A38" s="96">
        <v>29</v>
      </c>
      <c r="B38" s="108" t="s">
        <v>39</v>
      </c>
      <c r="C38" s="109">
        <v>6117.3</v>
      </c>
      <c r="D38">
        <v>15</v>
      </c>
      <c r="E38" s="30"/>
      <c r="F38" s="30"/>
      <c r="G38" s="110">
        <f t="shared" si="1"/>
        <v>2039.1000000000004</v>
      </c>
    </row>
    <row r="39" spans="1:7" ht="15.6" customHeight="1" x14ac:dyDescent="0.25">
      <c r="A39" s="102"/>
      <c r="B39" s="103" t="s">
        <v>21</v>
      </c>
      <c r="C39" s="104"/>
      <c r="E39" s="142"/>
      <c r="F39" s="142"/>
      <c r="G39" s="105"/>
    </row>
    <row r="40" spans="1:7" ht="15.6" customHeight="1" x14ac:dyDescent="0.25">
      <c r="A40" s="96">
        <v>30</v>
      </c>
      <c r="B40" s="97" t="s">
        <v>22</v>
      </c>
      <c r="C40" s="100">
        <v>9700</v>
      </c>
      <c r="D40">
        <v>10</v>
      </c>
      <c r="E40" s="30"/>
      <c r="F40" s="30"/>
      <c r="G40" s="101">
        <f>C40-C40/D40*10</f>
        <v>0</v>
      </c>
    </row>
    <row r="41" spans="1:7" ht="15.6" customHeight="1" x14ac:dyDescent="0.25">
      <c r="A41" s="96">
        <v>31</v>
      </c>
      <c r="B41" s="97" t="s">
        <v>2</v>
      </c>
      <c r="C41" s="100">
        <v>8322</v>
      </c>
      <c r="D41">
        <v>10</v>
      </c>
      <c r="E41" s="30"/>
      <c r="F41" s="30"/>
      <c r="G41" s="101">
        <f>C41-C41/D41*10</f>
        <v>0</v>
      </c>
    </row>
    <row r="42" spans="1:7" ht="15.6" customHeight="1" x14ac:dyDescent="0.25">
      <c r="A42" s="96">
        <v>32</v>
      </c>
      <c r="B42" s="97" t="s">
        <v>24</v>
      </c>
      <c r="C42" s="100">
        <v>4400</v>
      </c>
      <c r="D42">
        <v>10</v>
      </c>
      <c r="E42" s="30"/>
      <c r="F42" s="30"/>
      <c r="G42" s="101">
        <f>C42-C42/D42*10</f>
        <v>0</v>
      </c>
    </row>
    <row r="43" spans="1:7" ht="15.6" customHeight="1" x14ac:dyDescent="0.25">
      <c r="A43" s="113">
        <v>33</v>
      </c>
      <c r="B43" s="114" t="s">
        <v>43</v>
      </c>
      <c r="C43" s="115">
        <f>5214+537</f>
        <v>5751</v>
      </c>
      <c r="D43">
        <v>10</v>
      </c>
      <c r="E43" s="30"/>
      <c r="F43" s="30"/>
      <c r="G43" s="116">
        <f>C43-C43/D43*10</f>
        <v>0</v>
      </c>
    </row>
    <row r="44" spans="1:7" ht="15.6" customHeight="1" x14ac:dyDescent="0.25">
      <c r="A44" s="146"/>
      <c r="B44" s="150" t="s">
        <v>44</v>
      </c>
      <c r="C44" s="147">
        <f>SUM(C6:C43)</f>
        <v>821605.12</v>
      </c>
      <c r="D44" s="148"/>
      <c r="E44" s="149"/>
      <c r="F44" s="149"/>
      <c r="G44" s="118"/>
    </row>
    <row r="45" spans="1:7" ht="15.6" customHeight="1" x14ac:dyDescent="0.25">
      <c r="A45" s="113">
        <v>34</v>
      </c>
      <c r="B45" s="97" t="s">
        <v>100</v>
      </c>
      <c r="C45" s="100">
        <v>36630</v>
      </c>
      <c r="D45">
        <v>10</v>
      </c>
      <c r="E45" s="30"/>
      <c r="F45" s="30"/>
      <c r="G45" s="117">
        <f>C45-C45/D45*10</f>
        <v>0</v>
      </c>
    </row>
    <row r="46" spans="1:7" ht="15.6" customHeight="1" x14ac:dyDescent="0.25">
      <c r="A46" s="113">
        <v>35</v>
      </c>
      <c r="B46" s="114" t="s">
        <v>99</v>
      </c>
      <c r="C46" s="115">
        <f>SUM(C6:C43,C45)*0.025</f>
        <v>21455.878000000001</v>
      </c>
      <c r="E46" s="30"/>
      <c r="F46" s="30"/>
      <c r="G46" s="118"/>
    </row>
    <row r="47" spans="1:7" ht="15.6" customHeight="1" thickBot="1" x14ac:dyDescent="0.3">
      <c r="A47" s="113">
        <v>36</v>
      </c>
      <c r="B47" s="114" t="s">
        <v>101</v>
      </c>
      <c r="C47" s="115">
        <f>'#Lisa 1 üürnike vahel jagatuna#'!D46+'#Lisa 1 üürnike vahel jagatuna#'!F46+'#Lisa 1 üürnike vahel jagatuna#'!H46+'#Lisa 1 üürnike vahel jagatuna#'!J46+'#Lisa 1 üürnike vahel jagatuna#'!L46</f>
        <v>3831.0957632801992</v>
      </c>
      <c r="E47" s="119"/>
      <c r="F47" s="119"/>
      <c r="G47" s="118"/>
    </row>
    <row r="48" spans="1:7" ht="15.75" thickBot="1" x14ac:dyDescent="0.3">
      <c r="A48" s="152"/>
      <c r="B48" s="143" t="s">
        <v>44</v>
      </c>
      <c r="C48" s="151">
        <f>SUM(C44:C47)</f>
        <v>883522.09376328019</v>
      </c>
      <c r="D48" s="142"/>
      <c r="E48" s="153">
        <f>SUMPRODUCT($C$6:$C$45,E6:E45)</f>
        <v>98806.14</v>
      </c>
      <c r="F48" s="153">
        <f>SUMPRODUCT($C$6:$C$45,F6:F45)</f>
        <v>116907.08</v>
      </c>
      <c r="G48" s="121">
        <f>SUM(G6:G45)</f>
        <v>204960.96666666667</v>
      </c>
    </row>
    <row r="50" spans="4:6" x14ac:dyDescent="0.25">
      <c r="D50" s="28" t="s">
        <v>57</v>
      </c>
    </row>
    <row r="51" spans="4:6" x14ac:dyDescent="0.25">
      <c r="D51" s="28"/>
      <c r="E51" s="29"/>
      <c r="F51" s="29"/>
    </row>
  </sheetData>
  <pageMargins left="0.25" right="0.25" top="0.75" bottom="0.75" header="0.3" footer="0.3"/>
  <pageSetup paperSize="8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BA3DF-428E-4306-BF6A-77585956E622}">
  <dimension ref="A1:Y60"/>
  <sheetViews>
    <sheetView tabSelected="1" zoomScale="70" zoomScaleNormal="70" workbookViewId="0">
      <selection activeCell="U14" sqref="U14"/>
    </sheetView>
  </sheetViews>
  <sheetFormatPr defaultRowHeight="15" x14ac:dyDescent="0.25"/>
  <cols>
    <col min="1" max="1" width="64.28515625" customWidth="1"/>
    <col min="2" max="2" width="13.140625" customWidth="1"/>
    <col min="3" max="3" width="17" customWidth="1"/>
    <col min="4" max="4" width="16.42578125" customWidth="1"/>
    <col min="5" max="5" width="10.7109375" customWidth="1"/>
    <col min="6" max="6" width="16.140625" customWidth="1"/>
    <col min="8" max="8" width="14.28515625" bestFit="1" customWidth="1"/>
    <col min="9" max="9" width="12.85546875" customWidth="1"/>
    <col min="10" max="10" width="14.7109375" customWidth="1"/>
    <col min="12" max="12" width="17.5703125" customWidth="1"/>
    <col min="15" max="15" width="30.5703125" bestFit="1" customWidth="1"/>
    <col min="16" max="16" width="14.28515625" customWidth="1"/>
    <col min="17" max="17" width="11.5703125" customWidth="1"/>
    <col min="18" max="18" width="9.85546875" customWidth="1"/>
    <col min="19" max="19" width="9.5703125" customWidth="1"/>
  </cols>
  <sheetData>
    <row r="1" spans="1:25" x14ac:dyDescent="0.25">
      <c r="A1" s="209" t="s">
        <v>46</v>
      </c>
      <c r="B1" s="209"/>
      <c r="C1" s="209"/>
      <c r="D1" s="31"/>
      <c r="E1" s="11"/>
      <c r="F1" s="41"/>
      <c r="G1" s="1"/>
      <c r="H1" s="36"/>
      <c r="I1" s="11"/>
      <c r="J1" s="36"/>
      <c r="K1" s="1"/>
      <c r="L1" s="44"/>
    </row>
    <row r="2" spans="1:25" x14ac:dyDescent="0.25">
      <c r="A2" s="10"/>
      <c r="B2" s="31"/>
      <c r="C2" s="10"/>
      <c r="D2" s="31"/>
      <c r="E2" s="11"/>
      <c r="F2" s="41"/>
      <c r="G2" s="1"/>
      <c r="H2" s="36"/>
      <c r="I2" s="11"/>
      <c r="J2" s="36"/>
      <c r="K2" s="1"/>
      <c r="L2" s="44"/>
      <c r="O2" s="16" t="s">
        <v>75</v>
      </c>
      <c r="P2" s="16" t="s">
        <v>76</v>
      </c>
      <c r="Q2" s="16" t="s">
        <v>77</v>
      </c>
      <c r="R2" s="16" t="s">
        <v>78</v>
      </c>
      <c r="S2" s="16" t="s">
        <v>79</v>
      </c>
      <c r="T2" s="16" t="s">
        <v>57</v>
      </c>
      <c r="U2" s="16" t="s">
        <v>80</v>
      </c>
      <c r="V2" s="17" t="s">
        <v>57</v>
      </c>
      <c r="W2" s="18" t="s">
        <v>81</v>
      </c>
      <c r="X2" s="181" t="s">
        <v>114</v>
      </c>
      <c r="Y2" s="181" t="s">
        <v>113</v>
      </c>
    </row>
    <row r="3" spans="1:25" ht="18.75" thickBot="1" x14ac:dyDescent="0.3">
      <c r="A3" s="2" t="s">
        <v>74</v>
      </c>
      <c r="B3" s="32"/>
      <c r="C3" s="11"/>
      <c r="D3" s="37"/>
      <c r="E3" s="11"/>
      <c r="F3" s="41"/>
      <c r="G3" s="11"/>
      <c r="H3" s="41"/>
      <c r="I3" s="12"/>
      <c r="J3" s="36"/>
      <c r="K3" s="1"/>
      <c r="L3" s="45"/>
      <c r="O3" s="19" t="s">
        <v>82</v>
      </c>
      <c r="P3" s="20">
        <v>183.30000000000004</v>
      </c>
      <c r="Q3" s="20">
        <v>0</v>
      </c>
      <c r="R3" s="20">
        <v>0</v>
      </c>
      <c r="S3" s="20">
        <v>61.390778506827459</v>
      </c>
      <c r="T3" s="20">
        <v>244.69077850682748</v>
      </c>
      <c r="U3" s="26">
        <f>T3/T9</f>
        <v>0.15219927754358861</v>
      </c>
      <c r="V3" s="21">
        <v>244.69077850682748</v>
      </c>
      <c r="W3" s="25">
        <f>V3/V9</f>
        <v>0.15632196927542799</v>
      </c>
      <c r="X3" s="180">
        <v>244.69077850682748</v>
      </c>
      <c r="Y3" s="183">
        <f>X3/X9</f>
        <v>0.19683917505174769</v>
      </c>
    </row>
    <row r="4" spans="1:25" ht="15.75" thickBot="1" x14ac:dyDescent="0.3">
      <c r="A4" s="3" t="s">
        <v>47</v>
      </c>
      <c r="B4" s="33" t="s">
        <v>48</v>
      </c>
      <c r="C4" s="4" t="s">
        <v>49</v>
      </c>
      <c r="D4" s="33" t="s">
        <v>50</v>
      </c>
      <c r="E4" s="4" t="s">
        <v>51</v>
      </c>
      <c r="F4" s="33" t="s">
        <v>52</v>
      </c>
      <c r="G4" s="4" t="s">
        <v>53</v>
      </c>
      <c r="H4" s="33" t="s">
        <v>54</v>
      </c>
      <c r="I4" s="4" t="s">
        <v>55</v>
      </c>
      <c r="J4" s="33" t="s">
        <v>110</v>
      </c>
      <c r="K4" s="140" t="s">
        <v>56</v>
      </c>
      <c r="L4" s="46" t="s">
        <v>111</v>
      </c>
      <c r="M4" s="56" t="s">
        <v>57</v>
      </c>
      <c r="O4" s="19" t="s">
        <v>83</v>
      </c>
      <c r="P4" s="20">
        <v>267.99999999999994</v>
      </c>
      <c r="Q4" s="20">
        <v>18.66543850819308</v>
      </c>
      <c r="R4" s="20">
        <v>0</v>
      </c>
      <c r="S4" s="20">
        <v>57.958148607909202</v>
      </c>
      <c r="T4" s="20">
        <v>344.62358711610221</v>
      </c>
      <c r="U4" s="26">
        <f>T4/T9</f>
        <v>0.21435814338253537</v>
      </c>
      <c r="V4" s="21">
        <v>344.62358711610221</v>
      </c>
      <c r="W4" s="25">
        <f>V4/V9</f>
        <v>0.220164560861242</v>
      </c>
      <c r="X4" s="180">
        <f>344.623587116102-33.1</f>
        <v>311.52358711610196</v>
      </c>
      <c r="Y4" s="183">
        <f>X4/X9</f>
        <v>0.2506021938026724</v>
      </c>
    </row>
    <row r="5" spans="1:25" x14ac:dyDescent="0.25">
      <c r="A5" s="122" t="s">
        <v>58</v>
      </c>
      <c r="B5" s="34">
        <v>287</v>
      </c>
      <c r="C5" s="5">
        <v>21</v>
      </c>
      <c r="D5" s="34">
        <f>SUM(B5*C5)</f>
        <v>6027</v>
      </c>
      <c r="E5" s="5">
        <v>10</v>
      </c>
      <c r="F5" s="34">
        <f>B5*E5</f>
        <v>2870</v>
      </c>
      <c r="G5" s="5">
        <v>17</v>
      </c>
      <c r="H5" s="34">
        <f>B5*G5</f>
        <v>4879</v>
      </c>
      <c r="I5" s="5">
        <v>40</v>
      </c>
      <c r="J5" s="34">
        <f>B5*I5</f>
        <v>11480</v>
      </c>
      <c r="K5" s="63">
        <v>4</v>
      </c>
      <c r="L5" s="47">
        <f>K5*B5</f>
        <v>1148</v>
      </c>
      <c r="M5" s="13">
        <f>SUM(C5,E5,G5,I5,K5)</f>
        <v>92</v>
      </c>
      <c r="N5" s="15" t="s">
        <v>73</v>
      </c>
      <c r="O5" s="19" t="s">
        <v>84</v>
      </c>
      <c r="P5" s="20">
        <v>42.400000000000006</v>
      </c>
      <c r="Q5" s="20">
        <v>0</v>
      </c>
      <c r="R5" s="20">
        <v>0</v>
      </c>
      <c r="S5" s="20">
        <v>0</v>
      </c>
      <c r="T5" s="20">
        <v>42.400000000000006</v>
      </c>
      <c r="U5" s="26">
        <f>T5/T9</f>
        <v>2.6373079554643273E-2</v>
      </c>
      <c r="V5" s="21"/>
      <c r="W5" s="25">
        <f>V5/V9</f>
        <v>0</v>
      </c>
      <c r="X5" s="180"/>
      <c r="Y5" s="183"/>
    </row>
    <row r="6" spans="1:25" x14ac:dyDescent="0.25">
      <c r="A6" s="30" t="s">
        <v>59</v>
      </c>
      <c r="B6" s="35">
        <v>156</v>
      </c>
      <c r="C6" s="6">
        <v>14</v>
      </c>
      <c r="D6" s="35">
        <f>SUM(B6*C6)</f>
        <v>2184</v>
      </c>
      <c r="E6" s="6">
        <v>8</v>
      </c>
      <c r="F6" s="34">
        <f t="shared" ref="F6:F8" si="0">B6*E6</f>
        <v>1248</v>
      </c>
      <c r="G6" s="6"/>
      <c r="H6" s="35"/>
      <c r="I6" s="7"/>
      <c r="J6" s="34"/>
      <c r="K6" s="64">
        <v>4</v>
      </c>
      <c r="L6" s="47">
        <f t="shared" ref="L6:L21" si="1">K6*B6</f>
        <v>624</v>
      </c>
      <c r="M6" s="14">
        <f t="shared" ref="M6:M15" si="2">SUM(C6,E6,G6,I6,K6)</f>
        <v>26</v>
      </c>
      <c r="N6" s="15" t="s">
        <v>73</v>
      </c>
      <c r="O6" s="19" t="s">
        <v>85</v>
      </c>
      <c r="P6" s="20">
        <v>381.8</v>
      </c>
      <c r="Q6" s="20">
        <v>19.037985172263415</v>
      </c>
      <c r="R6" s="20">
        <v>0</v>
      </c>
      <c r="S6" s="20">
        <v>104.31873559141697</v>
      </c>
      <c r="T6" s="20">
        <v>505.15672076368037</v>
      </c>
      <c r="U6" s="26">
        <f>T6/T9</f>
        <v>0.31421081094960518</v>
      </c>
      <c r="V6" s="21">
        <v>505.15672076368037</v>
      </c>
      <c r="W6" s="25">
        <f>V6/V9</f>
        <v>0.32272198349433351</v>
      </c>
      <c r="X6" s="180">
        <f xml:space="preserve"> 505.15672076368-289.1</f>
        <v>216.05672076368</v>
      </c>
      <c r="Y6" s="183">
        <f>X6/X9</f>
        <v>0.17380477899097421</v>
      </c>
    </row>
    <row r="7" spans="1:25" x14ac:dyDescent="0.25">
      <c r="A7" s="30" t="s">
        <v>60</v>
      </c>
      <c r="B7" s="35">
        <v>163</v>
      </c>
      <c r="C7" s="6">
        <v>3</v>
      </c>
      <c r="D7" s="35">
        <f>SUM(B7*C7)</f>
        <v>489</v>
      </c>
      <c r="E7" s="6">
        <v>1</v>
      </c>
      <c r="F7" s="34">
        <f t="shared" si="0"/>
        <v>163</v>
      </c>
      <c r="G7" s="6"/>
      <c r="H7" s="35"/>
      <c r="I7" s="7"/>
      <c r="J7" s="34"/>
      <c r="K7" s="64"/>
      <c r="L7" s="47"/>
      <c r="M7" s="14">
        <f t="shared" si="2"/>
        <v>4</v>
      </c>
      <c r="N7" s="15" t="s">
        <v>73</v>
      </c>
      <c r="O7" s="19" t="s">
        <v>86</v>
      </c>
      <c r="P7" s="20">
        <v>252</v>
      </c>
      <c r="Q7" s="20">
        <v>19.196576319543507</v>
      </c>
      <c r="R7" s="20">
        <v>0</v>
      </c>
      <c r="S7" s="20">
        <v>147.69796063131764</v>
      </c>
      <c r="T7" s="20">
        <v>418.89453695086115</v>
      </c>
      <c r="U7" s="26">
        <f>T7/T9</f>
        <v>0.26055516386817257</v>
      </c>
      <c r="V7" s="21">
        <v>418.89453695086115</v>
      </c>
      <c r="W7" s="25">
        <f>V7/V9</f>
        <v>0.26761294125781704</v>
      </c>
      <c r="X7" s="180">
        <v>418.89453695086115</v>
      </c>
      <c r="Y7" s="183">
        <f>X7/X9</f>
        <v>0.33697573562131866</v>
      </c>
    </row>
    <row r="8" spans="1:25" x14ac:dyDescent="0.25">
      <c r="A8" s="30" t="s">
        <v>61</v>
      </c>
      <c r="B8" s="35">
        <v>357</v>
      </c>
      <c r="C8" s="6">
        <v>7</v>
      </c>
      <c r="D8" s="35">
        <f>SUM(B8*C8)</f>
        <v>2499</v>
      </c>
      <c r="E8" s="6">
        <v>1</v>
      </c>
      <c r="F8" s="34">
        <f t="shared" si="0"/>
        <v>357</v>
      </c>
      <c r="G8" s="6">
        <v>15</v>
      </c>
      <c r="H8" s="35">
        <f>SUM(B8*G8)</f>
        <v>5355</v>
      </c>
      <c r="I8" s="7">
        <v>40</v>
      </c>
      <c r="J8" s="34">
        <f t="shared" ref="J8:J19" si="3">B8*I8</f>
        <v>14280</v>
      </c>
      <c r="K8" s="64"/>
      <c r="L8" s="47"/>
      <c r="M8" s="14">
        <f t="shared" si="2"/>
        <v>63</v>
      </c>
      <c r="N8" s="15" t="s">
        <v>73</v>
      </c>
      <c r="O8" s="19" t="s">
        <v>87</v>
      </c>
      <c r="P8" s="20">
        <v>42.700000000000273</v>
      </c>
      <c r="Q8" s="20">
        <v>0</v>
      </c>
      <c r="R8" s="20">
        <v>0</v>
      </c>
      <c r="S8" s="20">
        <v>9.2343766625288204</v>
      </c>
      <c r="T8" s="20">
        <v>51.93437666252909</v>
      </c>
      <c r="U8" s="26">
        <f>T8/T9</f>
        <v>3.2303524701454922E-2</v>
      </c>
      <c r="V8" s="21">
        <v>51.93437666252909</v>
      </c>
      <c r="W8" s="25">
        <f>V8/V9</f>
        <v>3.3178545111179375E-2</v>
      </c>
      <c r="X8" s="180">
        <v>51.93437666252909</v>
      </c>
      <c r="Y8" s="183">
        <f>X8/X9</f>
        <v>4.177811653328703E-2</v>
      </c>
    </row>
    <row r="9" spans="1:25" x14ac:dyDescent="0.25">
      <c r="A9" s="30" t="s">
        <v>62</v>
      </c>
      <c r="B9" s="35">
        <v>357</v>
      </c>
      <c r="C9" s="6"/>
      <c r="D9" s="35"/>
      <c r="E9" s="6"/>
      <c r="F9" s="35"/>
      <c r="G9" s="6">
        <v>2</v>
      </c>
      <c r="H9" s="35">
        <f>SUM(B9*G9)</f>
        <v>714</v>
      </c>
      <c r="I9" s="7"/>
      <c r="J9" s="34"/>
      <c r="K9" s="64"/>
      <c r="L9" s="47"/>
      <c r="M9" s="14">
        <f t="shared" si="2"/>
        <v>2</v>
      </c>
      <c r="N9" s="15" t="s">
        <v>73</v>
      </c>
      <c r="O9" s="22" t="s">
        <v>88</v>
      </c>
      <c r="P9" s="23">
        <v>1170.2000000000003</v>
      </c>
      <c r="Q9" s="23">
        <v>56.900000000000006</v>
      </c>
      <c r="R9" s="23">
        <v>0</v>
      </c>
      <c r="S9" s="23">
        <v>380.60000000000008</v>
      </c>
      <c r="T9" s="23">
        <v>1607.7000000000005</v>
      </c>
      <c r="U9" s="27">
        <f>SUM(U3:U8)</f>
        <v>0.99999999999999989</v>
      </c>
      <c r="V9" s="24">
        <f>SUM(V3:V8)</f>
        <v>1565.3000000000004</v>
      </c>
      <c r="W9" s="25">
        <f>SUM(W3:W8)</f>
        <v>0.99999999999999989</v>
      </c>
      <c r="X9" s="182">
        <f>SUM(X3:X8)</f>
        <v>1243.0999999999997</v>
      </c>
      <c r="Y9" s="183">
        <f>SUM(Y3:Y8)</f>
        <v>1</v>
      </c>
    </row>
    <row r="10" spans="1:25" x14ac:dyDescent="0.25">
      <c r="A10" s="30" t="s">
        <v>63</v>
      </c>
      <c r="B10" s="35">
        <v>116</v>
      </c>
      <c r="C10" s="6">
        <v>20</v>
      </c>
      <c r="D10" s="35">
        <f>SUM(B10*C10)</f>
        <v>2320</v>
      </c>
      <c r="E10" s="6">
        <v>4</v>
      </c>
      <c r="F10" s="35">
        <f>SUM(B10*E10)</f>
        <v>464</v>
      </c>
      <c r="G10" s="6">
        <v>23</v>
      </c>
      <c r="H10" s="35">
        <f>SUM(G10*B10)</f>
        <v>2668</v>
      </c>
      <c r="I10" s="7">
        <v>40</v>
      </c>
      <c r="J10" s="34">
        <f t="shared" si="3"/>
        <v>4640</v>
      </c>
      <c r="K10" s="64">
        <v>4</v>
      </c>
      <c r="L10" s="47">
        <f t="shared" si="1"/>
        <v>464</v>
      </c>
      <c r="M10" s="14">
        <f>SUM(C10,E10,G10,I10,K10,)</f>
        <v>91</v>
      </c>
      <c r="N10" s="15" t="s">
        <v>73</v>
      </c>
    </row>
    <row r="11" spans="1:25" x14ac:dyDescent="0.25">
      <c r="A11" s="30" t="s">
        <v>64</v>
      </c>
      <c r="B11" s="35">
        <v>162</v>
      </c>
      <c r="C11" s="6">
        <v>11</v>
      </c>
      <c r="D11" s="35">
        <f>SUM(B11*C11)</f>
        <v>1782</v>
      </c>
      <c r="E11" s="6">
        <v>4</v>
      </c>
      <c r="F11" s="35">
        <f>SUM(B11*E11)</f>
        <v>648</v>
      </c>
      <c r="G11" s="6">
        <v>7</v>
      </c>
      <c r="H11" s="35">
        <f>SUM(G11*B11)</f>
        <v>1134</v>
      </c>
      <c r="I11" s="7">
        <v>38</v>
      </c>
      <c r="J11" s="34">
        <f t="shared" si="3"/>
        <v>6156</v>
      </c>
      <c r="K11" s="64">
        <v>4</v>
      </c>
      <c r="L11" s="47">
        <f t="shared" si="1"/>
        <v>648</v>
      </c>
      <c r="M11" s="14">
        <f t="shared" si="2"/>
        <v>64</v>
      </c>
      <c r="N11" s="15" t="s">
        <v>73</v>
      </c>
    </row>
    <row r="12" spans="1:25" x14ac:dyDescent="0.25">
      <c r="A12" s="30" t="s">
        <v>65</v>
      </c>
      <c r="B12" s="35">
        <v>162</v>
      </c>
      <c r="C12" s="6"/>
      <c r="D12" s="35"/>
      <c r="E12" s="6">
        <v>1</v>
      </c>
      <c r="F12" s="35">
        <v>162</v>
      </c>
      <c r="G12" s="6"/>
      <c r="H12" s="35"/>
      <c r="I12" s="7"/>
      <c r="J12" s="34"/>
      <c r="K12" s="64"/>
      <c r="L12" s="47"/>
      <c r="M12" s="14">
        <f t="shared" si="2"/>
        <v>1</v>
      </c>
      <c r="N12" s="15" t="s">
        <v>73</v>
      </c>
      <c r="O12" s="22" t="s">
        <v>91</v>
      </c>
      <c r="P12" s="54">
        <v>3831.0957632801992</v>
      </c>
    </row>
    <row r="13" spans="1:25" ht="15.75" customHeight="1" x14ac:dyDescent="0.25">
      <c r="A13" s="184" t="s">
        <v>115</v>
      </c>
      <c r="B13" s="35">
        <v>270</v>
      </c>
      <c r="C13" s="6">
        <v>3</v>
      </c>
      <c r="D13" s="35">
        <f>SUM(B13*C13)</f>
        <v>810</v>
      </c>
      <c r="E13" s="6"/>
      <c r="F13" s="35"/>
      <c r="G13" s="6"/>
      <c r="H13" s="35"/>
      <c r="I13" s="7"/>
      <c r="J13" s="34"/>
      <c r="K13" s="64"/>
      <c r="L13" s="47"/>
      <c r="M13" s="14">
        <v>3</v>
      </c>
      <c r="N13" s="15" t="s">
        <v>73</v>
      </c>
      <c r="O13" s="185"/>
      <c r="P13" s="186"/>
    </row>
    <row r="14" spans="1:25" x14ac:dyDescent="0.25">
      <c r="A14" s="187" t="s">
        <v>116</v>
      </c>
      <c r="B14" s="35">
        <v>243</v>
      </c>
      <c r="C14" s="6"/>
      <c r="D14" s="35"/>
      <c r="E14" s="6"/>
      <c r="F14" s="35"/>
      <c r="G14" s="6"/>
      <c r="H14" s="35"/>
      <c r="I14" s="7">
        <v>14</v>
      </c>
      <c r="J14" s="34">
        <f t="shared" si="3"/>
        <v>3402</v>
      </c>
      <c r="K14" s="64"/>
      <c r="L14" s="47"/>
      <c r="M14" s="14">
        <v>14</v>
      </c>
      <c r="N14" s="15" t="s">
        <v>73</v>
      </c>
      <c r="O14" s="22" t="s">
        <v>93</v>
      </c>
      <c r="P14" s="54">
        <f>'Lisa nr 1'!G48</f>
        <v>204960.96666666667</v>
      </c>
    </row>
    <row r="15" spans="1:25" x14ac:dyDescent="0.25">
      <c r="A15" s="30" t="s">
        <v>66</v>
      </c>
      <c r="B15" s="35">
        <v>113</v>
      </c>
      <c r="C15" s="6">
        <v>17</v>
      </c>
      <c r="D15" s="35">
        <f>SUM(B15*C15)</f>
        <v>1921</v>
      </c>
      <c r="E15" s="6">
        <v>3</v>
      </c>
      <c r="F15" s="35">
        <f>SUM(B15*E15)</f>
        <v>339</v>
      </c>
      <c r="G15" s="6">
        <v>13</v>
      </c>
      <c r="H15" s="35">
        <f t="shared" ref="H15:H16" si="4">SUM(G15*B15)</f>
        <v>1469</v>
      </c>
      <c r="I15" s="7">
        <v>15</v>
      </c>
      <c r="J15" s="34">
        <f t="shared" si="3"/>
        <v>1695</v>
      </c>
      <c r="K15" s="64">
        <v>2</v>
      </c>
      <c r="L15" s="47">
        <f t="shared" si="1"/>
        <v>226</v>
      </c>
      <c r="M15" s="14">
        <f t="shared" si="2"/>
        <v>50</v>
      </c>
      <c r="N15" s="15" t="s">
        <v>73</v>
      </c>
      <c r="P15" s="28"/>
    </row>
    <row r="16" spans="1:25" x14ac:dyDescent="0.25">
      <c r="A16" s="30" t="s">
        <v>67</v>
      </c>
      <c r="B16" s="35">
        <v>71</v>
      </c>
      <c r="C16" s="6">
        <v>7</v>
      </c>
      <c r="D16" s="35">
        <f>SUM(B16*C16)</f>
        <v>497</v>
      </c>
      <c r="E16" s="6">
        <v>1</v>
      </c>
      <c r="F16" s="35">
        <f t="shared" ref="F16:F18" si="5">SUM(B16*E16)</f>
        <v>71</v>
      </c>
      <c r="G16" s="6">
        <v>7</v>
      </c>
      <c r="H16" s="35">
        <f t="shared" si="4"/>
        <v>497</v>
      </c>
      <c r="I16" s="7">
        <v>11</v>
      </c>
      <c r="J16" s="34">
        <f t="shared" si="3"/>
        <v>781</v>
      </c>
      <c r="K16" s="64">
        <v>1</v>
      </c>
      <c r="L16" s="47">
        <f t="shared" si="1"/>
        <v>71</v>
      </c>
      <c r="M16" s="14">
        <f>SUM(C16,E16,G16,I16,K16)</f>
        <v>27</v>
      </c>
      <c r="N16" s="15" t="s">
        <v>73</v>
      </c>
      <c r="O16" s="22" t="s">
        <v>96</v>
      </c>
      <c r="P16" s="54">
        <f>'Lisa nr 1'!E48</f>
        <v>98806.14</v>
      </c>
    </row>
    <row r="17" spans="1:16" x14ac:dyDescent="0.25">
      <c r="A17" s="30" t="s">
        <v>108</v>
      </c>
      <c r="B17" s="35">
        <v>581</v>
      </c>
      <c r="C17" s="6"/>
      <c r="D17" s="35"/>
      <c r="E17" s="6">
        <v>2</v>
      </c>
      <c r="F17" s="35">
        <f t="shared" si="5"/>
        <v>1162</v>
      </c>
      <c r="G17" s="201"/>
      <c r="H17" s="35"/>
      <c r="I17" s="7">
        <v>4</v>
      </c>
      <c r="J17" s="34">
        <f t="shared" si="3"/>
        <v>2324</v>
      </c>
      <c r="K17" s="64"/>
      <c r="L17" s="47"/>
      <c r="M17" s="14">
        <f>SUM(E17,I17)</f>
        <v>6</v>
      </c>
      <c r="N17" s="15" t="s">
        <v>73</v>
      </c>
      <c r="P17" s="28"/>
    </row>
    <row r="18" spans="1:16" x14ac:dyDescent="0.25">
      <c r="A18" s="30" t="s">
        <v>117</v>
      </c>
      <c r="B18" s="188">
        <v>877</v>
      </c>
      <c r="C18" s="6">
        <v>1</v>
      </c>
      <c r="D18" s="35">
        <f>SUM(B18*C18)</f>
        <v>877</v>
      </c>
      <c r="E18" s="6">
        <v>1</v>
      </c>
      <c r="F18" s="35">
        <f t="shared" si="5"/>
        <v>877</v>
      </c>
      <c r="G18" s="6"/>
      <c r="H18" s="35"/>
      <c r="I18" s="7"/>
      <c r="J18" s="34">
        <f t="shared" si="3"/>
        <v>0</v>
      </c>
      <c r="K18" s="64"/>
      <c r="L18" s="47"/>
      <c r="M18" s="14">
        <v>2</v>
      </c>
      <c r="N18" s="15" t="s">
        <v>73</v>
      </c>
      <c r="O18" s="22" t="s">
        <v>97</v>
      </c>
      <c r="P18" s="54">
        <v>412.8</v>
      </c>
    </row>
    <row r="19" spans="1:16" ht="15.75" thickBot="1" x14ac:dyDescent="0.3">
      <c r="A19" s="189" t="s">
        <v>118</v>
      </c>
      <c r="B19" s="190">
        <v>1475</v>
      </c>
      <c r="C19" s="191"/>
      <c r="D19" s="190"/>
      <c r="E19" s="191"/>
      <c r="F19" s="190"/>
      <c r="G19" s="191"/>
      <c r="H19" s="190"/>
      <c r="I19" s="192">
        <v>1</v>
      </c>
      <c r="J19" s="34">
        <f t="shared" si="3"/>
        <v>1475</v>
      </c>
      <c r="K19" s="193"/>
      <c r="L19" s="47"/>
      <c r="M19" s="194">
        <v>1</v>
      </c>
      <c r="N19" s="15" t="s">
        <v>73</v>
      </c>
      <c r="P19" s="28"/>
    </row>
    <row r="20" spans="1:16" x14ac:dyDescent="0.25">
      <c r="A20" s="195" t="s">
        <v>119</v>
      </c>
      <c r="B20" s="34">
        <v>175</v>
      </c>
      <c r="C20" s="5">
        <v>12</v>
      </c>
      <c r="D20" s="35">
        <f>SUM(B20*C20)</f>
        <v>2100</v>
      </c>
      <c r="E20" s="5">
        <v>5</v>
      </c>
      <c r="F20" s="34">
        <f>SUM(B20*E20)</f>
        <v>875</v>
      </c>
      <c r="G20" s="5">
        <v>18</v>
      </c>
      <c r="H20" s="34">
        <f>SUM(B20*G20)</f>
        <v>3150</v>
      </c>
      <c r="I20" s="198">
        <v>18</v>
      </c>
      <c r="J20" s="196">
        <f>SUM(B20*I20)</f>
        <v>3150</v>
      </c>
      <c r="K20" s="199">
        <v>2</v>
      </c>
      <c r="L20" s="47">
        <f t="shared" si="1"/>
        <v>350</v>
      </c>
      <c r="M20" s="200">
        <f>SUM(C20+E20+G20+I20+K20)</f>
        <v>55</v>
      </c>
      <c r="N20" s="15" t="s">
        <v>73</v>
      </c>
      <c r="P20" s="186"/>
    </row>
    <row r="21" spans="1:16" x14ac:dyDescent="0.25">
      <c r="A21" s="197" t="s">
        <v>120</v>
      </c>
      <c r="B21" s="35">
        <v>45</v>
      </c>
      <c r="C21" s="6">
        <v>2</v>
      </c>
      <c r="D21" s="35">
        <f>SUM(B21*C21)</f>
        <v>90</v>
      </c>
      <c r="E21" s="6"/>
      <c r="F21" s="35"/>
      <c r="G21" s="6"/>
      <c r="H21" s="35"/>
      <c r="I21" s="7"/>
      <c r="J21" s="62"/>
      <c r="K21" s="64">
        <v>1</v>
      </c>
      <c r="L21" s="47">
        <f t="shared" si="1"/>
        <v>45</v>
      </c>
      <c r="M21" s="14">
        <f>SUM(C21+K21)</f>
        <v>3</v>
      </c>
      <c r="N21" s="15" t="s">
        <v>73</v>
      </c>
      <c r="P21" s="186"/>
    </row>
    <row r="22" spans="1:16" x14ac:dyDescent="0.25">
      <c r="A22" s="197" t="s">
        <v>135</v>
      </c>
      <c r="B22" s="35">
        <v>120</v>
      </c>
      <c r="C22" s="6"/>
      <c r="D22" s="35"/>
      <c r="E22" s="6"/>
      <c r="F22" s="35"/>
      <c r="G22" s="6"/>
      <c r="H22" s="35"/>
      <c r="I22" s="7">
        <v>1</v>
      </c>
      <c r="J22" s="62">
        <f>SUM(B22*I22)</f>
        <v>120</v>
      </c>
      <c r="K22" s="64"/>
      <c r="L22" s="48"/>
      <c r="M22" s="14">
        <f>SUM(I22)</f>
        <v>1</v>
      </c>
      <c r="N22" s="15" t="s">
        <v>73</v>
      </c>
      <c r="P22" s="28"/>
    </row>
    <row r="23" spans="1:16" x14ac:dyDescent="0.25">
      <c r="A23" s="197" t="s">
        <v>121</v>
      </c>
      <c r="B23" s="35">
        <v>830</v>
      </c>
      <c r="C23" s="6">
        <v>1</v>
      </c>
      <c r="D23" s="35">
        <f t="shared" ref="D23:D30" si="6">SUM(B23*C23)</f>
        <v>830</v>
      </c>
      <c r="E23" s="6"/>
      <c r="F23" s="35"/>
      <c r="G23" s="6"/>
      <c r="H23" s="35"/>
      <c r="I23" s="7"/>
      <c r="J23" s="62"/>
      <c r="K23" s="64"/>
      <c r="L23" s="48"/>
      <c r="M23" s="14">
        <f>SUM(C23)</f>
        <v>1</v>
      </c>
      <c r="N23" s="15" t="s">
        <v>73</v>
      </c>
      <c r="P23" s="28"/>
    </row>
    <row r="24" spans="1:16" x14ac:dyDescent="0.25">
      <c r="A24" s="197" t="s">
        <v>122</v>
      </c>
      <c r="B24" s="35">
        <v>140</v>
      </c>
      <c r="C24" s="6">
        <v>16</v>
      </c>
      <c r="D24" s="35">
        <f t="shared" si="6"/>
        <v>2240</v>
      </c>
      <c r="E24" s="6"/>
      <c r="F24" s="35"/>
      <c r="G24" s="6"/>
      <c r="H24" s="35"/>
      <c r="I24" s="7"/>
      <c r="J24" s="62"/>
      <c r="K24" s="64"/>
      <c r="L24" s="48"/>
      <c r="M24" s="14">
        <f t="shared" ref="M24:M28" si="7">SUM(C24)</f>
        <v>16</v>
      </c>
      <c r="N24" s="15" t="s">
        <v>73</v>
      </c>
      <c r="P24" s="28"/>
    </row>
    <row r="25" spans="1:16" x14ac:dyDescent="0.25">
      <c r="A25" s="197" t="s">
        <v>123</v>
      </c>
      <c r="B25" s="35">
        <v>350</v>
      </c>
      <c r="C25" s="6">
        <v>2</v>
      </c>
      <c r="D25" s="35">
        <f t="shared" si="6"/>
        <v>700</v>
      </c>
      <c r="E25" s="6"/>
      <c r="F25" s="35"/>
      <c r="G25" s="6"/>
      <c r="H25" s="35"/>
      <c r="I25" s="7"/>
      <c r="J25" s="62"/>
      <c r="K25" s="64"/>
      <c r="L25" s="48"/>
      <c r="M25" s="14">
        <f t="shared" si="7"/>
        <v>2</v>
      </c>
      <c r="N25" s="15" t="s">
        <v>73</v>
      </c>
      <c r="O25" s="36"/>
      <c r="P25" s="28"/>
    </row>
    <row r="26" spans="1:16" x14ac:dyDescent="0.25">
      <c r="A26" s="197" t="s">
        <v>124</v>
      </c>
      <c r="B26" s="35">
        <v>225</v>
      </c>
      <c r="C26" s="6">
        <v>2</v>
      </c>
      <c r="D26" s="35">
        <f t="shared" si="6"/>
        <v>450</v>
      </c>
      <c r="E26" s="6"/>
      <c r="F26" s="35"/>
      <c r="G26" s="6"/>
      <c r="H26" s="35"/>
      <c r="I26" s="7"/>
      <c r="J26" s="62"/>
      <c r="K26" s="64"/>
      <c r="L26" s="48"/>
      <c r="M26" s="14">
        <f t="shared" si="7"/>
        <v>2</v>
      </c>
      <c r="N26" s="15" t="s">
        <v>73</v>
      </c>
      <c r="O26" s="36"/>
      <c r="P26" s="28"/>
    </row>
    <row r="27" spans="1:16" x14ac:dyDescent="0.25">
      <c r="A27" s="197" t="s">
        <v>125</v>
      </c>
      <c r="B27" s="35">
        <v>80</v>
      </c>
      <c r="C27" s="6">
        <v>3</v>
      </c>
      <c r="D27" s="35">
        <f t="shared" si="6"/>
        <v>240</v>
      </c>
      <c r="E27" s="6"/>
      <c r="F27" s="35"/>
      <c r="G27" s="6"/>
      <c r="H27" s="35"/>
      <c r="I27" s="7"/>
      <c r="J27" s="62"/>
      <c r="K27" s="64"/>
      <c r="L27" s="48"/>
      <c r="M27" s="14">
        <f t="shared" si="7"/>
        <v>3</v>
      </c>
      <c r="N27" s="15" t="s">
        <v>73</v>
      </c>
      <c r="O27" s="36"/>
      <c r="P27" s="28"/>
    </row>
    <row r="28" spans="1:16" x14ac:dyDescent="0.25">
      <c r="A28" s="197" t="s">
        <v>126</v>
      </c>
      <c r="B28" s="35">
        <v>200</v>
      </c>
      <c r="C28" s="6">
        <v>3</v>
      </c>
      <c r="D28" s="35">
        <f t="shared" si="6"/>
        <v>600</v>
      </c>
      <c r="E28" s="6"/>
      <c r="F28" s="35"/>
      <c r="G28" s="6"/>
      <c r="H28" s="35"/>
      <c r="I28" s="7"/>
      <c r="J28" s="62"/>
      <c r="K28" s="64"/>
      <c r="L28" s="48"/>
      <c r="M28" s="14">
        <f t="shared" si="7"/>
        <v>3</v>
      </c>
      <c r="N28" s="15" t="s">
        <v>73</v>
      </c>
      <c r="O28" s="36"/>
      <c r="P28" s="28"/>
    </row>
    <row r="29" spans="1:16" x14ac:dyDescent="0.25">
      <c r="A29" s="197" t="s">
        <v>127</v>
      </c>
      <c r="B29" s="35">
        <v>25</v>
      </c>
      <c r="C29" s="6">
        <v>1</v>
      </c>
      <c r="D29" s="35">
        <f t="shared" si="6"/>
        <v>25</v>
      </c>
      <c r="E29" s="6">
        <v>1</v>
      </c>
      <c r="F29" s="35">
        <f t="shared" ref="F29:F34" si="8">SUM(B29*E29)</f>
        <v>25</v>
      </c>
      <c r="G29" s="6">
        <v>1</v>
      </c>
      <c r="H29" s="35">
        <f>SUM(B29*G29)</f>
        <v>25</v>
      </c>
      <c r="I29" s="7">
        <v>1</v>
      </c>
      <c r="J29" s="62">
        <f>SUM(B29*I29)</f>
        <v>25</v>
      </c>
      <c r="K29" s="64"/>
      <c r="L29" s="48"/>
      <c r="M29" s="14">
        <f>SUM(C29+E29+G29+I29)</f>
        <v>4</v>
      </c>
      <c r="N29" s="15" t="s">
        <v>73</v>
      </c>
      <c r="O29" s="36"/>
      <c r="P29" s="28"/>
    </row>
    <row r="30" spans="1:16" x14ac:dyDescent="0.25">
      <c r="A30" s="197" t="s">
        <v>128</v>
      </c>
      <c r="B30" s="35">
        <v>255</v>
      </c>
      <c r="C30" s="6">
        <v>1</v>
      </c>
      <c r="D30" s="35">
        <f t="shared" si="6"/>
        <v>255</v>
      </c>
      <c r="E30" s="6">
        <v>1</v>
      </c>
      <c r="F30" s="35">
        <f t="shared" si="8"/>
        <v>255</v>
      </c>
      <c r="G30" s="6">
        <v>1</v>
      </c>
      <c r="H30" s="35">
        <f>SUM(B30*G30)</f>
        <v>255</v>
      </c>
      <c r="I30" s="7">
        <v>1</v>
      </c>
      <c r="J30" s="62">
        <f>SUM(B30*I30)</f>
        <v>255</v>
      </c>
      <c r="K30" s="64"/>
      <c r="L30" s="48"/>
      <c r="M30" s="14">
        <f>SUM(C30+E30+G30+I30)</f>
        <v>4</v>
      </c>
      <c r="N30" s="15" t="s">
        <v>73</v>
      </c>
      <c r="P30" s="28"/>
    </row>
    <row r="31" spans="1:16" x14ac:dyDescent="0.25">
      <c r="A31" s="197" t="s">
        <v>136</v>
      </c>
      <c r="B31" s="35">
        <v>70</v>
      </c>
      <c r="C31" s="6"/>
      <c r="D31" s="35"/>
      <c r="E31" s="64">
        <v>26</v>
      </c>
      <c r="F31" s="35">
        <f t="shared" si="8"/>
        <v>1820</v>
      </c>
      <c r="G31" s="6"/>
      <c r="H31" s="35"/>
      <c r="I31" s="7"/>
      <c r="J31" s="62"/>
      <c r="K31" s="64"/>
      <c r="L31" s="48"/>
      <c r="M31" s="14">
        <f>SUM(K31)</f>
        <v>0</v>
      </c>
      <c r="N31" s="15" t="s">
        <v>73</v>
      </c>
      <c r="P31" s="28"/>
    </row>
    <row r="32" spans="1:16" x14ac:dyDescent="0.25">
      <c r="A32" s="197" t="s">
        <v>129</v>
      </c>
      <c r="B32" s="35">
        <v>50</v>
      </c>
      <c r="C32" s="6"/>
      <c r="D32" s="35"/>
      <c r="E32" s="64">
        <v>1</v>
      </c>
      <c r="F32" s="35">
        <f t="shared" si="8"/>
        <v>50</v>
      </c>
      <c r="G32" s="6"/>
      <c r="H32" s="35"/>
      <c r="I32" s="7"/>
      <c r="J32" s="62"/>
      <c r="K32" s="64"/>
      <c r="L32" s="48"/>
      <c r="M32" s="14">
        <f>SUM(K32)</f>
        <v>0</v>
      </c>
      <c r="N32" s="15" t="s">
        <v>73</v>
      </c>
      <c r="P32" s="28"/>
    </row>
    <row r="33" spans="1:16" x14ac:dyDescent="0.25">
      <c r="A33" s="197" t="s">
        <v>130</v>
      </c>
      <c r="B33" s="35">
        <v>420</v>
      </c>
      <c r="C33" s="6"/>
      <c r="D33" s="35"/>
      <c r="E33" s="6">
        <v>2</v>
      </c>
      <c r="F33" s="35">
        <f t="shared" si="8"/>
        <v>840</v>
      </c>
      <c r="G33" s="6"/>
      <c r="H33" s="35"/>
      <c r="I33" s="7"/>
      <c r="J33" s="62"/>
      <c r="K33" s="64"/>
      <c r="L33" s="48"/>
      <c r="M33" s="14">
        <f>SUM(E33)</f>
        <v>2</v>
      </c>
      <c r="N33" s="15" t="s">
        <v>73</v>
      </c>
      <c r="P33" s="28"/>
    </row>
    <row r="34" spans="1:16" x14ac:dyDescent="0.25">
      <c r="A34" s="197" t="s">
        <v>131</v>
      </c>
      <c r="B34" s="35">
        <v>180</v>
      </c>
      <c r="C34" s="6"/>
      <c r="D34" s="35"/>
      <c r="E34" s="6">
        <v>4</v>
      </c>
      <c r="F34" s="35">
        <f t="shared" si="8"/>
        <v>720</v>
      </c>
      <c r="G34" s="6"/>
      <c r="H34" s="35"/>
      <c r="I34" s="7"/>
      <c r="J34" s="62"/>
      <c r="K34" s="64"/>
      <c r="L34" s="48"/>
      <c r="M34" s="14">
        <f>SUM(E34)</f>
        <v>4</v>
      </c>
      <c r="N34" s="15" t="s">
        <v>73</v>
      </c>
      <c r="P34" s="28"/>
    </row>
    <row r="35" spans="1:16" x14ac:dyDescent="0.25">
      <c r="A35" s="197" t="s">
        <v>132</v>
      </c>
      <c r="B35" s="35">
        <v>260</v>
      </c>
      <c r="C35" s="6"/>
      <c r="D35" s="35"/>
      <c r="E35" s="6"/>
      <c r="F35" s="35"/>
      <c r="G35" s="6">
        <v>8</v>
      </c>
      <c r="H35" s="35">
        <f>SUM(B35*G35)</f>
        <v>2080</v>
      </c>
      <c r="I35" s="7"/>
      <c r="J35" s="62"/>
      <c r="K35" s="64"/>
      <c r="L35" s="48"/>
      <c r="M35" s="14">
        <f>SUM(G35)</f>
        <v>8</v>
      </c>
      <c r="N35" s="15" t="s">
        <v>73</v>
      </c>
      <c r="P35" s="28"/>
    </row>
    <row r="36" spans="1:16" x14ac:dyDescent="0.25">
      <c r="A36" s="197" t="s">
        <v>133</v>
      </c>
      <c r="B36" s="35">
        <v>390</v>
      </c>
      <c r="C36" s="6"/>
      <c r="D36" s="35"/>
      <c r="E36" s="6"/>
      <c r="F36" s="35"/>
      <c r="G36" s="6">
        <v>2</v>
      </c>
      <c r="H36" s="35">
        <f>SUM(B36*G36)</f>
        <v>780</v>
      </c>
      <c r="I36" s="7"/>
      <c r="J36" s="62"/>
      <c r="K36" s="64"/>
      <c r="L36" s="48"/>
      <c r="M36" s="14">
        <f>SUM(G36)</f>
        <v>2</v>
      </c>
      <c r="N36" s="15" t="s">
        <v>73</v>
      </c>
      <c r="P36" s="28"/>
    </row>
    <row r="37" spans="1:16" x14ac:dyDescent="0.25">
      <c r="A37" s="197" t="s">
        <v>134</v>
      </c>
      <c r="B37" s="35">
        <v>165</v>
      </c>
      <c r="C37" s="6"/>
      <c r="D37" s="35"/>
      <c r="E37" s="6">
        <v>2</v>
      </c>
      <c r="F37" s="35">
        <v>330</v>
      </c>
      <c r="G37" s="6"/>
      <c r="H37" s="35"/>
      <c r="I37" s="7">
        <v>2</v>
      </c>
      <c r="J37" s="62">
        <f>SUM(B37*I37)</f>
        <v>330</v>
      </c>
      <c r="K37" s="64"/>
      <c r="L37" s="48"/>
      <c r="M37" s="14">
        <f>SUM(G37+I37)</f>
        <v>2</v>
      </c>
      <c r="N37" s="15" t="s">
        <v>73</v>
      </c>
      <c r="P37" s="28"/>
    </row>
    <row r="38" spans="1:16" x14ac:dyDescent="0.25">
      <c r="B38" s="36"/>
      <c r="C38" s="1"/>
      <c r="D38" s="38">
        <f>SUM(D5:D37)</f>
        <v>26936</v>
      </c>
      <c r="E38" s="8"/>
      <c r="F38" s="38">
        <f>SUM(F5:F37)</f>
        <v>13276</v>
      </c>
      <c r="G38" s="8"/>
      <c r="H38" s="38">
        <f>SUM(H5:H37)</f>
        <v>23006</v>
      </c>
      <c r="I38" s="8"/>
      <c r="J38" s="42">
        <f>SUM(J5:J37)</f>
        <v>50113</v>
      </c>
      <c r="K38" s="9"/>
      <c r="L38" s="49">
        <f>SUM(L5:L37)</f>
        <v>3576</v>
      </c>
      <c r="M38" s="57">
        <f>SUM(D38:L38)</f>
        <v>116907</v>
      </c>
      <c r="N38" s="15" t="s">
        <v>109</v>
      </c>
    </row>
    <row r="39" spans="1:16" ht="15.75" thickBot="1" x14ac:dyDescent="0.3">
      <c r="B39" s="36"/>
      <c r="C39" s="1"/>
      <c r="D39" s="39"/>
      <c r="E39" s="1"/>
      <c r="F39" s="39"/>
      <c r="G39" s="1"/>
      <c r="H39" s="39"/>
      <c r="I39" s="1"/>
      <c r="J39" s="43"/>
      <c r="K39" s="1"/>
      <c r="L39" s="50"/>
      <c r="M39" s="58"/>
      <c r="N39" s="15"/>
    </row>
    <row r="40" spans="1:16" ht="46.5" x14ac:dyDescent="0.35">
      <c r="A40" s="66" t="s">
        <v>102</v>
      </c>
      <c r="B40" s="67"/>
      <c r="C40" s="126" t="s">
        <v>68</v>
      </c>
      <c r="D40" s="69" t="s">
        <v>50</v>
      </c>
      <c r="E40" s="126" t="s">
        <v>69</v>
      </c>
      <c r="F40" s="69" t="s">
        <v>52</v>
      </c>
      <c r="G40" s="126" t="s">
        <v>70</v>
      </c>
      <c r="H40" s="69" t="s">
        <v>54</v>
      </c>
      <c r="I40" s="126" t="s">
        <v>71</v>
      </c>
      <c r="J40" s="138" t="s">
        <v>110</v>
      </c>
      <c r="K40" s="68" t="s">
        <v>72</v>
      </c>
      <c r="L40" s="83" t="s">
        <v>111</v>
      </c>
      <c r="M40" s="85"/>
      <c r="N40" s="15"/>
    </row>
    <row r="41" spans="1:16" ht="21" x14ac:dyDescent="0.35">
      <c r="A41" s="70"/>
      <c r="B41" s="36"/>
      <c r="C41" s="127">
        <f>Y3</f>
        <v>0.19683917505174769</v>
      </c>
      <c r="D41" s="40"/>
      <c r="E41" s="127">
        <f>Y6</f>
        <v>0.17380477899097421</v>
      </c>
      <c r="F41" s="40"/>
      <c r="G41" s="127">
        <f>Y4</f>
        <v>0.2506021938026724</v>
      </c>
      <c r="H41" s="40"/>
      <c r="I41" s="127">
        <f>Y7</f>
        <v>0.33697573562131866</v>
      </c>
      <c r="J41" s="139"/>
      <c r="K41" s="55">
        <f>Y8</f>
        <v>4.177811653328703E-2</v>
      </c>
      <c r="L41" s="50"/>
      <c r="M41" s="61"/>
      <c r="N41" s="15"/>
    </row>
    <row r="42" spans="1:16" ht="15.75" x14ac:dyDescent="0.25">
      <c r="A42" s="71" t="s">
        <v>90</v>
      </c>
      <c r="B42" s="53"/>
      <c r="C42" s="128"/>
      <c r="D42" s="154">
        <f>M42*C41</f>
        <v>138712.17298061648</v>
      </c>
      <c r="E42" s="155"/>
      <c r="F42" s="154">
        <f>M42*E41</f>
        <v>122479.88014538152</v>
      </c>
      <c r="G42" s="155"/>
      <c r="H42" s="154">
        <f>M42*G41</f>
        <v>176598.86476835562</v>
      </c>
      <c r="I42" s="155"/>
      <c r="J42" s="154">
        <f>M42*I41</f>
        <v>237466.12694087197</v>
      </c>
      <c r="K42" s="156"/>
      <c r="L42" s="156">
        <f>M42*K41</f>
        <v>29440.955164774299</v>
      </c>
      <c r="M42" s="84">
        <v>704697.99999999988</v>
      </c>
      <c r="N42" s="15" t="s">
        <v>109</v>
      </c>
    </row>
    <row r="43" spans="1:16" ht="15.75" x14ac:dyDescent="0.25">
      <c r="A43" s="72" t="s">
        <v>45</v>
      </c>
      <c r="B43" s="73"/>
      <c r="C43" s="129"/>
      <c r="D43" s="157">
        <f>M43*C41</f>
        <v>7210.2189821455177</v>
      </c>
      <c r="E43" s="158"/>
      <c r="F43" s="157">
        <f>M43*E41</f>
        <v>6366.4690544393852</v>
      </c>
      <c r="G43" s="158"/>
      <c r="H43" s="157">
        <f>M43*G41</f>
        <v>9179.5583589918897</v>
      </c>
      <c r="I43" s="158"/>
      <c r="J43" s="157">
        <f>M43*I41</f>
        <v>12343.421195808902</v>
      </c>
      <c r="K43" s="159"/>
      <c r="L43" s="159">
        <f>M43*K41</f>
        <v>1530.3324086143039</v>
      </c>
      <c r="M43" s="59">
        <v>36630</v>
      </c>
      <c r="N43" s="15" t="s">
        <v>109</v>
      </c>
    </row>
    <row r="44" spans="1:16" s="51" customFormat="1" ht="15.75" x14ac:dyDescent="0.25">
      <c r="A44" s="72" t="s">
        <v>112</v>
      </c>
      <c r="B44" s="73"/>
      <c r="C44" s="129"/>
      <c r="D44" s="157">
        <f>D42+D43</f>
        <v>145922.39196276199</v>
      </c>
      <c r="E44" s="158"/>
      <c r="F44" s="157">
        <f>F42+F43</f>
        <v>128846.34919982091</v>
      </c>
      <c r="G44" s="158"/>
      <c r="H44" s="157">
        <f t="shared" ref="H44:L44" si="9">H42+H43</f>
        <v>185778.42312734752</v>
      </c>
      <c r="I44" s="158"/>
      <c r="J44" s="157">
        <f t="shared" si="9"/>
        <v>249809.54813668088</v>
      </c>
      <c r="K44" s="159"/>
      <c r="L44" s="159">
        <f t="shared" si="9"/>
        <v>30971.287573388603</v>
      </c>
      <c r="M44" s="59">
        <f>SUM(D44:L44)</f>
        <v>741327.99999999977</v>
      </c>
      <c r="N44" s="15" t="s">
        <v>109</v>
      </c>
    </row>
    <row r="45" spans="1:16" s="51" customFormat="1" ht="15.75" x14ac:dyDescent="0.25">
      <c r="A45" s="141" t="s">
        <v>99</v>
      </c>
      <c r="B45" s="74"/>
      <c r="C45" s="130"/>
      <c r="D45" s="160">
        <f>0.025*D44</f>
        <v>3648.0597990690499</v>
      </c>
      <c r="E45" s="161"/>
      <c r="F45" s="160">
        <f t="shared" ref="F45:L45" si="10">0.025*F44</f>
        <v>3221.1587299955227</v>
      </c>
      <c r="G45" s="161"/>
      <c r="H45" s="160">
        <f t="shared" si="10"/>
        <v>4644.4605781836881</v>
      </c>
      <c r="I45" s="161"/>
      <c r="J45" s="160">
        <f t="shared" si="10"/>
        <v>6245.2387034170224</v>
      </c>
      <c r="K45" s="162"/>
      <c r="L45" s="162">
        <f t="shared" si="10"/>
        <v>774.2821893347151</v>
      </c>
      <c r="M45" s="60">
        <f>SUM(D45:L45)</f>
        <v>18533.199999999997</v>
      </c>
      <c r="N45" s="15" t="s">
        <v>109</v>
      </c>
    </row>
    <row r="46" spans="1:16" s="51" customFormat="1" ht="16.5" thickBot="1" x14ac:dyDescent="0.3">
      <c r="A46" s="141" t="s">
        <v>89</v>
      </c>
      <c r="B46" s="74"/>
      <c r="C46" s="130"/>
      <c r="D46" s="160">
        <f>C41*$P$12</f>
        <v>754.10972958832008</v>
      </c>
      <c r="E46" s="161"/>
      <c r="F46" s="160">
        <f>E41*$P$12</f>
        <v>665.86275243017269</v>
      </c>
      <c r="G46" s="161"/>
      <c r="H46" s="160">
        <f>G41*$P$12</f>
        <v>960.08100294614167</v>
      </c>
      <c r="I46" s="161"/>
      <c r="J46" s="160">
        <f>I41*$P$12</f>
        <v>1290.9863130670624</v>
      </c>
      <c r="K46" s="162"/>
      <c r="L46" s="162">
        <f>K41*$P$12</f>
        <v>160.05596524850239</v>
      </c>
      <c r="M46" s="60">
        <f>SUM(D46:L46)</f>
        <v>3831.0957632801992</v>
      </c>
      <c r="N46" s="15" t="s">
        <v>109</v>
      </c>
    </row>
    <row r="47" spans="1:16" s="51" customFormat="1" ht="16.5" thickBot="1" x14ac:dyDescent="0.3">
      <c r="A47" s="123" t="s">
        <v>103</v>
      </c>
      <c r="B47" s="124"/>
      <c r="C47" s="131"/>
      <c r="D47" s="163">
        <f>SUM(D44:D46)</f>
        <v>150324.56149141936</v>
      </c>
      <c r="E47" s="164"/>
      <c r="F47" s="163">
        <f>SUM(F44:F46)</f>
        <v>132733.3706822466</v>
      </c>
      <c r="G47" s="164"/>
      <c r="H47" s="163">
        <f t="shared" ref="H47:L47" si="11">SUM(H44:H46)</f>
        <v>191382.96470847735</v>
      </c>
      <c r="I47" s="164"/>
      <c r="J47" s="163">
        <f t="shared" si="11"/>
        <v>257345.77315316495</v>
      </c>
      <c r="K47" s="165"/>
      <c r="L47" s="165">
        <f t="shared" si="11"/>
        <v>31905.625727971819</v>
      </c>
      <c r="M47" s="125">
        <f>SUM(D47:L47)</f>
        <v>763692.29576328001</v>
      </c>
      <c r="N47" s="15" t="s">
        <v>109</v>
      </c>
    </row>
    <row r="48" spans="1:16" s="51" customFormat="1" ht="15.75" x14ac:dyDescent="0.25">
      <c r="A48" s="75"/>
      <c r="B48" s="76"/>
      <c r="C48" s="132"/>
      <c r="D48" s="166"/>
      <c r="E48" s="167"/>
      <c r="F48" s="166"/>
      <c r="G48" s="167"/>
      <c r="H48" s="166"/>
      <c r="I48" s="167"/>
      <c r="J48" s="166"/>
      <c r="K48" s="168"/>
      <c r="L48" s="168"/>
      <c r="M48" s="60"/>
      <c r="N48" s="65"/>
    </row>
    <row r="49" spans="1:14" s="52" customFormat="1" ht="15.75" x14ac:dyDescent="0.25">
      <c r="A49" s="72" t="s">
        <v>13</v>
      </c>
      <c r="B49" s="73"/>
      <c r="C49" s="129"/>
      <c r="D49" s="157">
        <f>D38</f>
        <v>26936</v>
      </c>
      <c r="E49" s="158"/>
      <c r="F49" s="157">
        <f>F38</f>
        <v>13276</v>
      </c>
      <c r="G49" s="158"/>
      <c r="H49" s="157">
        <f>H38</f>
        <v>23006</v>
      </c>
      <c r="I49" s="158"/>
      <c r="J49" s="157">
        <f>J38</f>
        <v>50113</v>
      </c>
      <c r="K49" s="159"/>
      <c r="L49" s="159">
        <f>L38</f>
        <v>3576</v>
      </c>
      <c r="M49" s="59">
        <f>SUM(D49:L49)</f>
        <v>116907</v>
      </c>
      <c r="N49" s="65" t="s">
        <v>109</v>
      </c>
    </row>
    <row r="50" spans="1:14" s="51" customFormat="1" ht="16.5" thickBot="1" x14ac:dyDescent="0.3">
      <c r="A50" s="72" t="s">
        <v>99</v>
      </c>
      <c r="B50" s="73"/>
      <c r="C50" s="129"/>
      <c r="D50" s="157">
        <f>0.025*D49</f>
        <v>673.40000000000009</v>
      </c>
      <c r="E50" s="158"/>
      <c r="F50" s="157">
        <f t="shared" ref="F50:L50" si="12">0.025*F49</f>
        <v>331.90000000000003</v>
      </c>
      <c r="G50" s="158"/>
      <c r="H50" s="157">
        <f t="shared" si="12"/>
        <v>575.15</v>
      </c>
      <c r="I50" s="158"/>
      <c r="J50" s="157">
        <f t="shared" si="12"/>
        <v>1252.825</v>
      </c>
      <c r="K50" s="159"/>
      <c r="L50" s="159">
        <f t="shared" si="12"/>
        <v>89.4</v>
      </c>
      <c r="M50" s="59">
        <f>SUM(D50:L50)</f>
        <v>2922.6750000000006</v>
      </c>
      <c r="N50" s="65" t="s">
        <v>109</v>
      </c>
    </row>
    <row r="51" spans="1:14" s="51" customFormat="1" ht="16.5" thickBot="1" x14ac:dyDescent="0.3">
      <c r="A51" s="123" t="s">
        <v>104</v>
      </c>
      <c r="B51" s="124"/>
      <c r="C51" s="131"/>
      <c r="D51" s="163">
        <f>D49+D50</f>
        <v>27609.4</v>
      </c>
      <c r="E51" s="169"/>
      <c r="F51" s="163">
        <f t="shared" ref="F51" si="13">F49+F50</f>
        <v>13607.9</v>
      </c>
      <c r="G51" s="169"/>
      <c r="H51" s="163">
        <f t="shared" ref="H51" si="14">H49+H50</f>
        <v>23581.15</v>
      </c>
      <c r="I51" s="169"/>
      <c r="J51" s="163">
        <f t="shared" ref="J51" si="15">J49+J50</f>
        <v>51365.824999999997</v>
      </c>
      <c r="K51" s="170"/>
      <c r="L51" s="165">
        <f t="shared" ref="L51" si="16">L49+L50</f>
        <v>3665.4</v>
      </c>
      <c r="M51" s="125">
        <f>SUM(D51:L51)</f>
        <v>119829.67499999999</v>
      </c>
      <c r="N51" s="65" t="s">
        <v>109</v>
      </c>
    </row>
    <row r="52" spans="1:14" s="51" customFormat="1" ht="15.75" x14ac:dyDescent="0.25">
      <c r="A52" s="77"/>
      <c r="B52" s="36"/>
      <c r="C52" s="133"/>
      <c r="D52" s="171"/>
      <c r="E52" s="172"/>
      <c r="F52" s="171"/>
      <c r="G52" s="172"/>
      <c r="H52" s="171"/>
      <c r="I52" s="172"/>
      <c r="J52" s="171"/>
      <c r="K52" s="173"/>
      <c r="L52" s="174"/>
      <c r="M52" s="61"/>
      <c r="N52" s="65"/>
    </row>
    <row r="53" spans="1:14" s="52" customFormat="1" ht="15.75" x14ac:dyDescent="0.25">
      <c r="A53" s="77"/>
      <c r="B53" s="36"/>
      <c r="C53" s="133"/>
      <c r="D53" s="171"/>
      <c r="E53" s="172"/>
      <c r="F53" s="171"/>
      <c r="G53" s="172"/>
      <c r="H53" s="171"/>
      <c r="I53" s="172"/>
      <c r="J53" s="171"/>
      <c r="K53" s="173"/>
      <c r="L53" s="174"/>
      <c r="M53" s="61"/>
      <c r="N53" s="65"/>
    </row>
    <row r="54" spans="1:14" ht="15.75" x14ac:dyDescent="0.25">
      <c r="A54" s="78" t="s">
        <v>94</v>
      </c>
      <c r="B54" s="54"/>
      <c r="C54" s="135"/>
      <c r="D54" s="175">
        <f>$P$14*C41</f>
        <v>40344.347596475425</v>
      </c>
      <c r="E54" s="176"/>
      <c r="F54" s="175">
        <f>$P$14*E41</f>
        <v>35623.195513276434</v>
      </c>
      <c r="G54" s="176"/>
      <c r="H54" s="175">
        <f>$P$14*G41</f>
        <v>51363.667890583078</v>
      </c>
      <c r="I54" s="176"/>
      <c r="J54" s="175">
        <f>$P$14*I41</f>
        <v>69066.872516156582</v>
      </c>
      <c r="K54" s="177"/>
      <c r="L54" s="177">
        <f>$P$14*K41</f>
        <v>8562.8831501751592</v>
      </c>
      <c r="M54" s="59">
        <f>SUM(D54:L54)</f>
        <v>204960.96666666667</v>
      </c>
      <c r="N54" s="65" t="s">
        <v>109</v>
      </c>
    </row>
    <row r="55" spans="1:14" x14ac:dyDescent="0.25">
      <c r="A55" s="77"/>
      <c r="B55" s="36"/>
      <c r="C55" s="133"/>
      <c r="D55" s="171"/>
      <c r="E55" s="172"/>
      <c r="F55" s="171"/>
      <c r="G55" s="172"/>
      <c r="H55" s="171"/>
      <c r="I55" s="172"/>
      <c r="J55" s="171"/>
      <c r="K55" s="173"/>
      <c r="L55" s="174"/>
      <c r="M55" s="61"/>
      <c r="N55" s="15"/>
    </row>
    <row r="56" spans="1:14" s="28" customFormat="1" ht="15.75" x14ac:dyDescent="0.25">
      <c r="A56" s="78" t="s">
        <v>105</v>
      </c>
      <c r="B56" s="54"/>
      <c r="C56" s="135"/>
      <c r="D56" s="175">
        <f>$P$16*C41</f>
        <v>19448.91908764749</v>
      </c>
      <c r="E56" s="176"/>
      <c r="F56" s="175">
        <f>$P$16*E41</f>
        <v>17172.979325651257</v>
      </c>
      <c r="G56" s="176"/>
      <c r="H56" s="175">
        <f>$P$16*G41</f>
        <v>24761.03544517398</v>
      </c>
      <c r="I56" s="176"/>
      <c r="J56" s="175">
        <f>$P$16*I41</f>
        <v>33295.271710403002</v>
      </c>
      <c r="K56" s="177"/>
      <c r="L56" s="177">
        <f>$P$16*K41</f>
        <v>4127.934431124273</v>
      </c>
      <c r="M56" s="59">
        <f t="shared" ref="M56" si="17">SUM(D56:L56)</f>
        <v>98806.14</v>
      </c>
      <c r="N56" s="15" t="s">
        <v>109</v>
      </c>
    </row>
    <row r="57" spans="1:14" x14ac:dyDescent="0.25">
      <c r="A57" s="77"/>
      <c r="B57" s="36"/>
      <c r="C57" s="133"/>
      <c r="D57" s="171"/>
      <c r="E57" s="172"/>
      <c r="F57" s="171"/>
      <c r="G57" s="172"/>
      <c r="H57" s="171"/>
      <c r="I57" s="172"/>
      <c r="J57" s="171"/>
      <c r="K57" s="173"/>
      <c r="L57" s="174"/>
      <c r="M57" s="61"/>
      <c r="N57" s="15"/>
    </row>
    <row r="58" spans="1:14" s="28" customFormat="1" ht="15.75" x14ac:dyDescent="0.25">
      <c r="A58" s="78" t="s">
        <v>98</v>
      </c>
      <c r="B58" s="54"/>
      <c r="C58" s="135"/>
      <c r="D58" s="175">
        <f>ROUND(D38/$M$38*$P$18,2)</f>
        <v>95.11</v>
      </c>
      <c r="E58" s="178"/>
      <c r="F58" s="175">
        <f>ROUND(F38/$M$38*$P$18,2)</f>
        <v>46.88</v>
      </c>
      <c r="G58" s="178"/>
      <c r="H58" s="175">
        <f>ROUND(H38/$M$38*$P$18,2)</f>
        <v>81.23</v>
      </c>
      <c r="I58" s="178"/>
      <c r="J58" s="175">
        <f>ROUND(J38/$M$38*$P$18,2)</f>
        <v>176.95</v>
      </c>
      <c r="K58" s="179"/>
      <c r="L58" s="177">
        <f>ROUND(L38/$M$38*$P$18,2)</f>
        <v>12.63</v>
      </c>
      <c r="M58" s="59">
        <f t="shared" ref="M58" si="18">SUM(D58:L58)</f>
        <v>412.8</v>
      </c>
      <c r="N58" s="15" t="s">
        <v>109</v>
      </c>
    </row>
    <row r="59" spans="1:14" x14ac:dyDescent="0.25">
      <c r="A59" s="77"/>
      <c r="B59" s="36"/>
      <c r="C59" s="133"/>
      <c r="D59" s="134"/>
      <c r="E59" s="133"/>
      <c r="F59" s="134"/>
      <c r="G59" s="133"/>
      <c r="H59" s="134"/>
      <c r="I59" s="133"/>
      <c r="J59" s="134"/>
      <c r="K59" s="1"/>
      <c r="L59" s="45"/>
      <c r="M59" s="61"/>
      <c r="N59" s="15"/>
    </row>
    <row r="60" spans="1:14" s="28" customFormat="1" ht="15.75" thickBot="1" x14ac:dyDescent="0.3">
      <c r="A60" s="79"/>
      <c r="B60" s="80"/>
      <c r="C60" s="136"/>
      <c r="D60" s="137"/>
      <c r="E60" s="136"/>
      <c r="F60" s="137"/>
      <c r="G60" s="136"/>
      <c r="H60" s="137"/>
      <c r="I60" s="136"/>
      <c r="J60" s="137"/>
      <c r="K60" s="81"/>
      <c r="L60" s="82"/>
      <c r="M60" s="145">
        <f>M47+M51</f>
        <v>883521.97076328006</v>
      </c>
      <c r="N60" s="15" t="s">
        <v>109</v>
      </c>
    </row>
  </sheetData>
  <mergeCells count="1">
    <mergeCell ref="A1:C1"/>
  </mergeCells>
  <conditionalFormatting sqref="P3:T9 O12:O13">
    <cfRule type="expression" dxfId="13" priority="11">
      <formula>AND($AU3&lt;&gt;"",$BD3="")</formula>
    </cfRule>
    <cfRule type="expression" dxfId="12" priority="12">
      <formula>$AU3&lt;&gt;""</formula>
    </cfRule>
  </conditionalFormatting>
  <conditionalFormatting sqref="O3:O9">
    <cfRule type="expression" dxfId="11" priority="13">
      <formula>AND($AU3&lt;&gt;"",$BD3="")</formula>
    </cfRule>
    <cfRule type="expression" dxfId="10" priority="14">
      <formula>$AU3&lt;&gt;""</formula>
    </cfRule>
  </conditionalFormatting>
  <conditionalFormatting sqref="V3:V9">
    <cfRule type="expression" dxfId="9" priority="9">
      <formula>AND($AU3&lt;&gt;"",$BD3="")</formula>
    </cfRule>
    <cfRule type="expression" dxfId="8" priority="10">
      <formula>$AU3&lt;&gt;""</formula>
    </cfRule>
  </conditionalFormatting>
  <conditionalFormatting sqref="O14">
    <cfRule type="expression" dxfId="7" priority="7">
      <formula>AND($AU16&lt;&gt;"",$BD16="")</formula>
    </cfRule>
    <cfRule type="expression" dxfId="6" priority="8">
      <formula>$AU16&lt;&gt;""</formula>
    </cfRule>
  </conditionalFormatting>
  <conditionalFormatting sqref="O18">
    <cfRule type="expression" dxfId="5" priority="3">
      <formula>AND($AU39&lt;&gt;"",$BD39="")</formula>
    </cfRule>
    <cfRule type="expression" dxfId="4" priority="4">
      <formula>$AU39&lt;&gt;""</formula>
    </cfRule>
  </conditionalFormatting>
  <conditionalFormatting sqref="X3:X8">
    <cfRule type="expression" dxfId="3" priority="1">
      <formula>AND($AU3&lt;&gt;"",$BD3="")</formula>
    </cfRule>
    <cfRule type="expression" dxfId="2" priority="2">
      <formula>$AU3&lt;&gt;""</formula>
    </cfRule>
  </conditionalFormatting>
  <conditionalFormatting sqref="O16">
    <cfRule type="expression" dxfId="1" priority="17">
      <formula>AND(#REF!&lt;&gt;"",#REF!="")</formula>
    </cfRule>
    <cfRule type="expression" dxfId="0" priority="18">
      <formula>#REF!&lt;&gt;""</formula>
    </cfRule>
  </conditionalFormatting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C4C377-A02E-450E-818F-B11989134E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A3E4FA77-257B-4A9C-A119-D9F9C68C352F}">
  <ds:schemaRefs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9b75d5ef-9f4b-4445-abe8-84a77c29284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37D9678-CB62-4022-B69C-094F2D0703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nr 1</vt:lpstr>
      <vt:lpstr>#Lisa 1 üürnike vahel jagatuna#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Erik</dc:creator>
  <cp:lastModifiedBy>Siret Kuusik</cp:lastModifiedBy>
  <cp:lastPrinted>2018-09-10T13:58:50Z</cp:lastPrinted>
  <dcterms:created xsi:type="dcterms:W3CDTF">2011-09-27T10:48:38Z</dcterms:created>
  <dcterms:modified xsi:type="dcterms:W3CDTF">2019-02-22T12:26:32Z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0x010100631DA7DF3856F8439F509C6DE8795A43</vt:lpwstr>
  </property>
</Properties>
</file>